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2120" windowHeight="8580" tabRatio="227" activeTab="0"/>
  </bookViews>
  <sheets>
    <sheet name="опубликовать" sheetId="1" r:id="rId1"/>
  </sheets>
  <definedNames>
    <definedName name="_xlnm.Print_Titles" localSheetId="0">'опубликовать'!$7:$10</definedName>
    <definedName name="_xlnm.Print_Area" localSheetId="0">'опубликовать'!$A$1:$R$79</definedName>
  </definedNames>
  <calcPr fullCalcOnLoad="1"/>
</workbook>
</file>

<file path=xl/sharedStrings.xml><?xml version="1.0" encoding="utf-8"?>
<sst xmlns="http://schemas.openxmlformats.org/spreadsheetml/2006/main" count="211" uniqueCount="163">
  <si>
    <t xml:space="preserve">     Наименование разделов (подразделов) расходов</t>
  </si>
  <si>
    <t>Оплата труда</t>
  </si>
  <si>
    <t>Штатная численность (ставки)</t>
  </si>
  <si>
    <t>Раздел (подраздел) БК</t>
  </si>
  <si>
    <t>№ п/п</t>
  </si>
  <si>
    <t>Фактическая численность</t>
  </si>
  <si>
    <t xml:space="preserve"> по штатной численности</t>
  </si>
  <si>
    <t xml:space="preserve"> по фактической численности</t>
  </si>
  <si>
    <t>Штатная численность по плану</t>
  </si>
  <si>
    <t>7=3/5</t>
  </si>
  <si>
    <t>8=3/6</t>
  </si>
  <si>
    <t>Средняя зарплата в месяц</t>
  </si>
  <si>
    <t>Средняя зарплата в месяц по штатной численности</t>
  </si>
  <si>
    <t>0100</t>
  </si>
  <si>
    <t>0103</t>
  </si>
  <si>
    <t>0104</t>
  </si>
  <si>
    <t>0300</t>
  </si>
  <si>
    <t>1</t>
  </si>
  <si>
    <t>1.2</t>
  </si>
  <si>
    <t>1.3</t>
  </si>
  <si>
    <t>2</t>
  </si>
  <si>
    <t>3</t>
  </si>
  <si>
    <t>0700</t>
  </si>
  <si>
    <t>0701</t>
  </si>
  <si>
    <t>0702</t>
  </si>
  <si>
    <t>0801</t>
  </si>
  <si>
    <t>0901</t>
  </si>
  <si>
    <t>0800</t>
  </si>
  <si>
    <t>4</t>
  </si>
  <si>
    <t>5</t>
  </si>
  <si>
    <t>0900</t>
  </si>
  <si>
    <t>0709</t>
  </si>
  <si>
    <t>Учреждения по внешкольной работе с детьми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</si>
  <si>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</si>
  <si>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</si>
  <si>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>Образование, всего, в том числе</t>
  </si>
  <si>
    <t>Начисления на оплату труда</t>
  </si>
  <si>
    <t>1.4</t>
  </si>
  <si>
    <t>6</t>
  </si>
  <si>
    <t>0400</t>
  </si>
  <si>
    <t>Национальная экономика</t>
  </si>
  <si>
    <t>Средняя зарплата в месяц в МО субъекта РФ без ЗАТО</t>
  </si>
  <si>
    <t>Х</t>
  </si>
  <si>
    <t>0200</t>
  </si>
  <si>
    <t>Национальная оборона</t>
  </si>
  <si>
    <t>0500</t>
  </si>
  <si>
    <t>Жилищно коммунальное хозяйство</t>
  </si>
  <si>
    <t>0600</t>
  </si>
  <si>
    <t>Охрана окружающей среды</t>
  </si>
  <si>
    <t>7.2.2</t>
  </si>
  <si>
    <t>9.1</t>
  </si>
  <si>
    <t>9.2</t>
  </si>
  <si>
    <t>0904</t>
  </si>
  <si>
    <t>10.2</t>
  </si>
  <si>
    <t>1006</t>
  </si>
  <si>
    <t>Другие вопросы в области социальной политики</t>
  </si>
  <si>
    <t>Всего:</t>
  </si>
  <si>
    <t>13=9/11</t>
  </si>
  <si>
    <t>1.5</t>
  </si>
  <si>
    <t>0106</t>
  </si>
  <si>
    <t>Культура, кинематография и средства массовой информации</t>
  </si>
  <si>
    <t>0902</t>
  </si>
  <si>
    <t>9.3</t>
  </si>
  <si>
    <t>Вилючинского городского округа ЗАТО Вилючинск Камчатского края</t>
  </si>
  <si>
    <t>4.1</t>
  </si>
  <si>
    <t>0401</t>
  </si>
  <si>
    <t>Реализация дополнительных мероприятий, направленных на снижение напряженности на рынке труда субъекта Российской Федерации</t>
  </si>
  <si>
    <t>Г.Н.Смирнова</t>
  </si>
  <si>
    <t>Заместитель главы администрации, начальник финансового управления</t>
  </si>
  <si>
    <t>Исполнение 2009 года</t>
  </si>
  <si>
    <t>План 2010 года</t>
  </si>
  <si>
    <t>Исполнено за отчетный период</t>
  </si>
  <si>
    <t>Глава Вилючинского городского округа</t>
  </si>
  <si>
    <t>А.Б. Маркман</t>
  </si>
  <si>
    <t>Администрация Вилючинского городского округа ЗАТО .Вилючинска Камчатского края</t>
  </si>
  <si>
    <t>Дума Вилючинского городского округа</t>
  </si>
  <si>
    <t xml:space="preserve">Контрольно-счетная палата </t>
  </si>
  <si>
    <t>МУ "Центр материально-технического обеспечения"</t>
  </si>
  <si>
    <t>Централизованная бухгалтерия отдела образования Вилючинского городского округа</t>
  </si>
  <si>
    <t>МУ "Информационно-методический центр"</t>
  </si>
  <si>
    <t>Централизованная бухгалтерия отдела культуры администрации Вилючинского городского округа</t>
  </si>
  <si>
    <t xml:space="preserve">МУ "Комплексный центр социального обслуживания населения" </t>
  </si>
  <si>
    <t>МУ "Социальный приют для детей"</t>
  </si>
  <si>
    <t>МДОУ "Детский сад №1"</t>
  </si>
  <si>
    <t>МДОУ "Детский сад №3"</t>
  </si>
  <si>
    <t>МДОУ "Детский сад №4"</t>
  </si>
  <si>
    <t>МДОУ "Детский сад №6"</t>
  </si>
  <si>
    <t>МОУ "Средняя общеобразовательная школа №1"</t>
  </si>
  <si>
    <t>МОУ "Средняя общеобразовательная школа №2"</t>
  </si>
  <si>
    <t>МОУ "Средняя общеобразовательная школа №3"</t>
  </si>
  <si>
    <t>МОУ "Средняя общеобразовательная школа №9"</t>
  </si>
  <si>
    <t>МОУ ДОД "Детская художественная школа"</t>
  </si>
  <si>
    <t>МОУ ДОД "Детская музыкальная школа №1"</t>
  </si>
  <si>
    <t>МОУ ДОД "Детская музыкальная школа №2"</t>
  </si>
  <si>
    <t>МОУ ДОД "Детско-юношеская спортивная школа №1"</t>
  </si>
  <si>
    <t>МОУ ДОД "Детско-юношеская спортивная школа №2"</t>
  </si>
  <si>
    <t>МОУ ДОД "Центр развития творчества детей и юношества"</t>
  </si>
  <si>
    <t>МОУ ДОД "Дом детского творчества"</t>
  </si>
  <si>
    <t>МОУ ДОД "Школа компьютерных информационных технологий"</t>
  </si>
  <si>
    <t>МУК «Центр культуры и досуга»</t>
  </si>
  <si>
    <t>МУК «Краеведческий музей»</t>
  </si>
  <si>
    <t>МУК «Централизованная библиотечная система»</t>
  </si>
  <si>
    <t>ММУ "Центральная городская больница"</t>
  </si>
  <si>
    <t xml:space="preserve">Здравоохранение, физическая культура и спорт </t>
  </si>
  <si>
    <t>Стационарная медицинская помощь (ММУ "Центральная городская больница")</t>
  </si>
  <si>
    <t>Амбулаторная-поликлиническая помощь (ММУ "Центральная городская больница")</t>
  </si>
  <si>
    <t>Скорая медицинская помощь (ММУ "Центральная городская больница")</t>
  </si>
  <si>
    <t>Функционирование законодательных (представительных) органов государственной власти  представительных органов муниципальных образований (Дума Вилючинского городского округа)</t>
  </si>
  <si>
    <t>0901   0902   0904</t>
  </si>
  <si>
    <t>Стационарная медицинская помощь, амбулаторная-поликлиническая помощь за счет средств бюджета субъекта РФ (ОМС)</t>
  </si>
  <si>
    <t>0804</t>
  </si>
  <si>
    <t>0113</t>
  </si>
  <si>
    <t>Стационарная медицинская помощь, амбулаторная-поликлиническая помощь, скорая медицинская помощь (МБМУ "Центральная городская больница"), в том числе:</t>
  </si>
  <si>
    <t>Культура (МБУК «Краеведческий музей», МБУК «Централизованная библиотечная система», МБУК «Дом культуры»)</t>
  </si>
  <si>
    <t>Другие вопросы в области культуры, кинематографии и средств массовой информации (Централизованная бухгалтерия отдела культуры, молодежной политики и спорта администрации Вилючинского городского округа)</t>
  </si>
  <si>
    <t>Обеспечение деятельности финансовых, налоговых и таможенных органов и  органов финансового (финансового-бюджетного) надзора (Контрольно-счетная палата Вилючинского городского округа )</t>
  </si>
  <si>
    <t>2.1</t>
  </si>
  <si>
    <t>3.1</t>
  </si>
  <si>
    <t>4.1.1.</t>
  </si>
  <si>
    <t>5.1</t>
  </si>
  <si>
    <t>Отдел ЗАГС администрации ВГО</t>
  </si>
  <si>
    <t>МБУ "Городской архив"</t>
  </si>
  <si>
    <t>4.2</t>
  </si>
  <si>
    <t>Жилищно-коммунальное хозяйство</t>
  </si>
  <si>
    <t>0505</t>
  </si>
  <si>
    <t>5.2</t>
  </si>
  <si>
    <t xml:space="preserve">Расходы на оплату труда и начисления на выплаты по оплате труда
</t>
  </si>
  <si>
    <t xml:space="preserve"> служащих  органов местного самоуправления и работников муниципальных учреждений </t>
  </si>
  <si>
    <t>Дошкольное образование                                                     (МБДОУ "Детский сад №1", МБДОУ "Детский сад №3",  МБДОУ "Детский сад №4", МБДОУ "Детский сад №5",  МБДОУ "Детский сад №6", МБДОУ "Детский сад №7", МБДОУ "Детский сад №8", МБДОУ "Детский сад №9")</t>
  </si>
  <si>
    <t xml:space="preserve">Учреждения по внешкольной работе с детьми отдела культуры администрации Вилючинского городского округа (МБУ ДОСК "Детская художественная школа", МБУ ДОСК "Детская музыкальная школа №1", МБУ ДОСК "Детская музыкальная школа №2") </t>
  </si>
  <si>
    <t>Оплата труда, тыс. руб.</t>
  </si>
  <si>
    <t>Фактическая численность, чел.</t>
  </si>
  <si>
    <t>Начисления на оплату труда, тыс. руб.</t>
  </si>
  <si>
    <t>Другие вопросы в области жилищно-коммунального хозяйства (МКУ "Благоустройство Вилючинска")</t>
  </si>
  <si>
    <t>4.4</t>
  </si>
  <si>
    <t>4.3.</t>
  </si>
  <si>
    <t>0703</t>
  </si>
  <si>
    <t>4.3.1</t>
  </si>
  <si>
    <t>4.3.2</t>
  </si>
  <si>
    <t>Общее образование                            
(МБОУ "Средняя школа №1", МБОУ "Средняя школа №2", МБОУ "Средняя школа №3", МБОУ "Средняя школа №9")</t>
  </si>
  <si>
    <t>0304</t>
  </si>
  <si>
    <t>2.2</t>
  </si>
  <si>
    <t>0309</t>
  </si>
  <si>
    <t>МКУ "Учреждение защиты от чрезвычайных ситуаций"</t>
  </si>
  <si>
    <t>3.2</t>
  </si>
  <si>
    <t>0503</t>
  </si>
  <si>
    <t>Благоустройство (Временное трудоустройство безработных граждан)</t>
  </si>
  <si>
    <t>4.3.3</t>
  </si>
  <si>
    <t>0707</t>
  </si>
  <si>
    <t>Молодежная политика и оздоровление детей</t>
  </si>
  <si>
    <t>4.5</t>
  </si>
  <si>
    <t>Функционирование Правительства РФ, высших исполнительных органов государственной власти субъектов РФ, местных администраций (Администрация Вилючинского городского округа ЗАТО Вилючинска Камчатского края)</t>
  </si>
  <si>
    <t>1101</t>
  </si>
  <si>
    <t>Учреждения по внешкольной работе с детьми отдела образования администрации Вилючинского городского округа (МБУ ДО "Центр развития творчества детей и юношества", МБУ ДО "Дом детского творчества")</t>
  </si>
  <si>
    <t>1102</t>
  </si>
  <si>
    <t>1100</t>
  </si>
  <si>
    <t xml:space="preserve">   Физическая культура и спорт</t>
  </si>
  <si>
    <t>Физическая культура (МБУ "Спортивная школа №2")</t>
  </si>
  <si>
    <t xml:space="preserve"> Массовый спорт (МБУ "Центр физической культуры и спорта")</t>
  </si>
  <si>
    <t>Другие вопросы в области образования                (МКУ "Информационно-методический центр", МКУ "Централизованная бухгалтерия учреждений образования Вилючинского городского округа")</t>
  </si>
  <si>
    <t xml:space="preserve">Численность, размер оплаты труда и начислений на выплаты по оплате труда  муниципальных 
</t>
  </si>
  <si>
    <t>на "01" января 2019 г.</t>
  </si>
  <si>
    <r>
      <t xml:space="preserve">Другие общегосударственные вопросы (МКУ "Городской архив", </t>
    </r>
    <r>
      <rPr>
        <sz val="9"/>
        <color indexed="8"/>
        <rFont val="Times New Roman"/>
        <family val="1"/>
      </rPr>
      <t xml:space="preserve"> МКУ "Учреждение защиты от чрезвычайных ситуаций", МКУ  ЦБ ОМСУ УК ВГО)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</si>
</sst>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\ _р_._-;\-* #,##0\ _р_._-;_-* &quot;-&quot;??\ _р_._-;_-@_-"/>
    <numFmt numFmtId="166" formatCode="0.0"/>
    <numFmt numFmtId="167" formatCode="#,##0.00_ ;\-#,##0.00\ 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0000000"/>
    <numFmt numFmtId="174" formatCode="0.000000000"/>
    <numFmt numFmtId="175" formatCode="_-* #,##0.0_р_._-;\-* #,##0.0_р_._-;_-* &quot;-&quot;??_р_._-;_-@_-"/>
    <numFmt numFmtId="176" formatCode="#,##0.0&quot;р.&quot;"/>
    <numFmt numFmtId="177" formatCode="#,##0.0_р_."/>
    <numFmt numFmtId="178" formatCode="[$-FC19]d\ mmmm\ yyyy\ &quot;г.&quot;"/>
    <numFmt numFmtId="179" formatCode="#,##0&quot;р.&quot;"/>
    <numFmt numFmtId="180" formatCode="#,##0_р_."/>
    <numFmt numFmtId="181" formatCode="#,##0.00&quot;р.&quot;"/>
    <numFmt numFmtId="182" formatCode="#,##0.00_р_."/>
    <numFmt numFmtId="183" formatCode="0000"/>
    <numFmt numFmtId="184" formatCode="#,##0.000"/>
    <numFmt numFmtId="185" formatCode="#,##0.0000"/>
    <numFmt numFmtId="186" formatCode="#,##0.00000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2" fontId="2" fillId="0" borderId="21" xfId="57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2" fontId="1" fillId="0" borderId="21" xfId="57" applyNumberFormat="1" applyFont="1" applyFill="1" applyBorder="1" applyAlignment="1">
      <alignment horizontal="right" vertical="center"/>
    </xf>
    <xf numFmtId="16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right" vertical="center" wrapText="1"/>
    </xf>
    <xf numFmtId="2" fontId="1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2" fontId="1" fillId="0" borderId="10" xfId="57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vertical="center" wrapText="1"/>
    </xf>
    <xf numFmtId="2" fontId="1" fillId="0" borderId="2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" fontId="11" fillId="0" borderId="26" xfId="0" applyNumberFormat="1" applyFont="1" applyFill="1" applyBorder="1" applyAlignment="1">
      <alignment vertical="center"/>
    </xf>
    <xf numFmtId="4" fontId="11" fillId="0" borderId="29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horizontal="right" vertical="center" wrapText="1"/>
    </xf>
    <xf numFmtId="2" fontId="11" fillId="0" borderId="28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vertical="center"/>
    </xf>
    <xf numFmtId="2" fontId="11" fillId="0" borderId="30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/>
    </xf>
    <xf numFmtId="2" fontId="12" fillId="0" borderId="21" xfId="57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43" fontId="12" fillId="0" borderId="0" xfId="0" applyNumberFormat="1" applyFont="1" applyFill="1" applyAlignment="1">
      <alignment horizontal="center" shrinkToFit="1"/>
    </xf>
    <xf numFmtId="43" fontId="12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center"/>
    </xf>
    <xf numFmtId="4" fontId="2" fillId="0" borderId="24" xfId="57" applyNumberFormat="1" applyFont="1" applyFill="1" applyBorder="1" applyAlignment="1">
      <alignment horizontal="right" vertical="center"/>
    </xf>
    <xf numFmtId="4" fontId="2" fillId="0" borderId="21" xfId="57" applyNumberFormat="1" applyFont="1" applyFill="1" applyBorder="1" applyAlignment="1">
      <alignment horizontal="right" vertical="center"/>
    </xf>
    <xf numFmtId="4" fontId="1" fillId="0" borderId="24" xfId="57" applyNumberFormat="1" applyFont="1" applyFill="1" applyBorder="1" applyAlignment="1">
      <alignment horizontal="right" vertical="center"/>
    </xf>
    <xf numFmtId="4" fontId="1" fillId="0" borderId="21" xfId="57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vertical="center"/>
    </xf>
    <xf numFmtId="4" fontId="1" fillId="0" borderId="32" xfId="57" applyNumberFormat="1" applyFont="1" applyFill="1" applyBorder="1" applyAlignment="1">
      <alignment horizontal="right" vertical="center"/>
    </xf>
    <xf numFmtId="2" fontId="2" fillId="0" borderId="21" xfId="57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right" vertical="center"/>
    </xf>
    <xf numFmtId="2" fontId="1" fillId="0" borderId="21" xfId="57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right" vertical="top"/>
    </xf>
    <xf numFmtId="2" fontId="12" fillId="0" borderId="20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4" fontId="2" fillId="0" borderId="33" xfId="57" applyNumberFormat="1" applyFont="1" applyFill="1" applyBorder="1" applyAlignment="1">
      <alignment horizontal="right" vertical="center"/>
    </xf>
    <xf numFmtId="4" fontId="2" fillId="0" borderId="35" xfId="57" applyNumberFormat="1" applyFont="1" applyFill="1" applyBorder="1" applyAlignment="1">
      <alignment horizontal="right" vertical="center"/>
    </xf>
    <xf numFmtId="2" fontId="12" fillId="0" borderId="0" xfId="57" applyNumberFormat="1" applyFont="1" applyFill="1" applyBorder="1" applyAlignment="1">
      <alignment horizontal="right" vertical="center"/>
    </xf>
    <xf numFmtId="2" fontId="2" fillId="0" borderId="34" xfId="57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vertical="center"/>
    </xf>
    <xf numFmtId="2" fontId="2" fillId="0" borderId="21" xfId="58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2" fontId="13" fillId="0" borderId="10" xfId="57" applyNumberFormat="1" applyFont="1" applyFill="1" applyBorder="1" applyAlignment="1">
      <alignment horizontal="center" vertical="center"/>
    </xf>
    <xf numFmtId="2" fontId="17" fillId="0" borderId="28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/>
    </xf>
    <xf numFmtId="4" fontId="2" fillId="0" borderId="24" xfId="58" applyNumberFormat="1" applyFont="1" applyFill="1" applyBorder="1" applyAlignment="1">
      <alignment horizontal="right" vertical="center"/>
    </xf>
    <xf numFmtId="4" fontId="2" fillId="0" borderId="21" xfId="58" applyNumberFormat="1" applyFont="1" applyFill="1" applyBorder="1" applyAlignment="1">
      <alignment horizontal="right" vertical="center"/>
    </xf>
    <xf numFmtId="171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25" xfId="58" applyNumberFormat="1" applyFont="1" applyFill="1" applyBorder="1" applyAlignment="1">
      <alignment horizontal="right" vertical="center"/>
    </xf>
    <xf numFmtId="43" fontId="11" fillId="0" borderId="2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right" vertical="center"/>
    </xf>
    <xf numFmtId="2" fontId="13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2" fontId="2" fillId="0" borderId="25" xfId="58" applyNumberFormat="1" applyFont="1" applyFill="1" applyBorder="1" applyAlignment="1">
      <alignment horizontal="right" vertical="center"/>
    </xf>
    <xf numFmtId="4" fontId="2" fillId="0" borderId="25" xfId="57" applyNumberFormat="1" applyFont="1" applyFill="1" applyBorder="1" applyAlignment="1">
      <alignment horizontal="right" vertical="center"/>
    </xf>
    <xf numFmtId="2" fontId="2" fillId="0" borderId="25" xfId="57" applyNumberFormat="1" applyFont="1" applyFill="1" applyBorder="1" applyAlignment="1">
      <alignment horizontal="right" vertical="center"/>
    </xf>
    <xf numFmtId="2" fontId="2" fillId="0" borderId="0" xfId="57" applyNumberFormat="1" applyFont="1" applyFill="1" applyBorder="1" applyAlignment="1">
      <alignment horizontal="right" vertical="center"/>
    </xf>
    <xf numFmtId="4" fontId="1" fillId="0" borderId="25" xfId="57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tabSelected="1" view="pageBreakPreview" zoomScale="90" zoomScaleSheetLayoutView="90" zoomScalePageLayoutView="0" workbookViewId="0" topLeftCell="A1">
      <selection activeCell="C78" sqref="C78"/>
    </sheetView>
  </sheetViews>
  <sheetFormatPr defaultColWidth="9.125" defaultRowHeight="12.75"/>
  <cols>
    <col min="1" max="1" width="7.625" style="1" customWidth="1"/>
    <col min="2" max="2" width="6.875" style="1" customWidth="1"/>
    <col min="3" max="3" width="41.625" style="3" customWidth="1"/>
    <col min="4" max="4" width="12.625" style="3" hidden="1" customWidth="1"/>
    <col min="5" max="6" width="12.375" style="3" hidden="1" customWidth="1"/>
    <col min="7" max="7" width="10.875" style="3" hidden="1" customWidth="1"/>
    <col min="8" max="8" width="10.375" style="3" hidden="1" customWidth="1"/>
    <col min="9" max="9" width="10.875" style="3" hidden="1" customWidth="1"/>
    <col min="10" max="10" width="9.375" style="3" hidden="1" customWidth="1"/>
    <col min="11" max="11" width="12.625" style="3" hidden="1" customWidth="1"/>
    <col min="12" max="12" width="12.375" style="1" hidden="1" customWidth="1"/>
    <col min="13" max="13" width="10.625" style="48" hidden="1" customWidth="1"/>
    <col min="14" max="14" width="9.875" style="1" hidden="1" customWidth="1"/>
    <col min="15" max="15" width="9.625" style="1" hidden="1" customWidth="1"/>
    <col min="16" max="16" width="16.50390625" style="30" customWidth="1"/>
    <col min="17" max="17" width="16.375" style="1" customWidth="1"/>
    <col min="18" max="18" width="17.125" style="48" customWidth="1"/>
    <col min="19" max="19" width="11.375" style="1" bestFit="1" customWidth="1"/>
    <col min="20" max="20" width="13.125" style="1" customWidth="1"/>
    <col min="21" max="16384" width="9.125" style="1" customWidth="1"/>
  </cols>
  <sheetData>
    <row r="1" spans="2:18" ht="14.25" customHeight="1">
      <c r="B1" s="2"/>
      <c r="L1" s="2"/>
      <c r="M1" s="95"/>
      <c r="N1" s="2"/>
      <c r="O1" s="2"/>
      <c r="P1" s="4"/>
      <c r="Q1" s="2"/>
      <c r="R1" s="50"/>
    </row>
    <row r="2" spans="2:18" s="6" customFormat="1" ht="15.75" customHeight="1">
      <c r="B2" s="205" t="s">
        <v>160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2:18" s="6" customFormat="1" ht="15.75" customHeight="1">
      <c r="B3" s="206" t="s">
        <v>127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2:18" s="6" customFormat="1" ht="15.75" customHeight="1">
      <c r="B4" s="206" t="s">
        <v>63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2:18" s="6" customFormat="1" ht="15.75" customHeight="1">
      <c r="B5" s="7"/>
      <c r="C5" s="11" t="s">
        <v>161</v>
      </c>
      <c r="D5" s="8"/>
      <c r="E5" s="8"/>
      <c r="F5" s="8"/>
      <c r="G5" s="8"/>
      <c r="H5" s="8"/>
      <c r="I5" s="8"/>
      <c r="J5" s="8"/>
      <c r="K5" s="9"/>
      <c r="L5" s="9"/>
      <c r="M5" s="96"/>
      <c r="N5" s="9"/>
      <c r="O5" s="9"/>
      <c r="P5" s="10"/>
      <c r="Q5" s="9"/>
      <c r="R5" s="96"/>
    </row>
    <row r="6" spans="2:18" s="6" customFormat="1" ht="14.25" customHeight="1" thickBot="1">
      <c r="B6" s="7"/>
      <c r="C6" s="12"/>
      <c r="D6" s="12"/>
      <c r="E6" s="12"/>
      <c r="F6" s="12"/>
      <c r="G6" s="12"/>
      <c r="H6" s="12"/>
      <c r="I6" s="12"/>
      <c r="J6" s="12"/>
      <c r="K6" s="12"/>
      <c r="L6" s="13"/>
      <c r="M6" s="97"/>
      <c r="N6" s="13"/>
      <c r="O6" s="13"/>
      <c r="P6" s="14"/>
      <c r="R6" s="106"/>
    </row>
    <row r="7" spans="1:18" s="93" customFormat="1" ht="15.75" customHeight="1" thickBot="1">
      <c r="A7" s="181" t="s">
        <v>4</v>
      </c>
      <c r="B7" s="184" t="s">
        <v>3</v>
      </c>
      <c r="C7" s="187" t="s">
        <v>0</v>
      </c>
      <c r="D7" s="190" t="s">
        <v>69</v>
      </c>
      <c r="E7" s="191"/>
      <c r="F7" s="191"/>
      <c r="G7" s="191"/>
      <c r="H7" s="191"/>
      <c r="I7" s="191"/>
      <c r="J7" s="192"/>
      <c r="K7" s="190" t="s">
        <v>70</v>
      </c>
      <c r="L7" s="207"/>
      <c r="M7" s="207"/>
      <c r="N7" s="207"/>
      <c r="O7" s="92"/>
      <c r="P7" s="190" t="s">
        <v>71</v>
      </c>
      <c r="Q7" s="191"/>
      <c r="R7" s="192"/>
    </row>
    <row r="8" spans="1:18" s="93" customFormat="1" ht="30" customHeight="1">
      <c r="A8" s="182"/>
      <c r="B8" s="185"/>
      <c r="C8" s="188"/>
      <c r="D8" s="212" t="s">
        <v>1</v>
      </c>
      <c r="E8" s="193" t="s">
        <v>36</v>
      </c>
      <c r="F8" s="193" t="s">
        <v>2</v>
      </c>
      <c r="G8" s="193" t="s">
        <v>5</v>
      </c>
      <c r="H8" s="201" t="s">
        <v>11</v>
      </c>
      <c r="I8" s="202"/>
      <c r="J8" s="203" t="s">
        <v>41</v>
      </c>
      <c r="K8" s="208" t="s">
        <v>1</v>
      </c>
      <c r="L8" s="193" t="s">
        <v>36</v>
      </c>
      <c r="M8" s="193" t="s">
        <v>8</v>
      </c>
      <c r="N8" s="197" t="s">
        <v>12</v>
      </c>
      <c r="O8" s="199" t="s">
        <v>41</v>
      </c>
      <c r="P8" s="210" t="s">
        <v>126</v>
      </c>
      <c r="Q8" s="211"/>
      <c r="R8" s="193" t="s">
        <v>131</v>
      </c>
    </row>
    <row r="9" spans="1:18" s="93" customFormat="1" ht="65.25" customHeight="1">
      <c r="A9" s="183"/>
      <c r="B9" s="186"/>
      <c r="C9" s="189"/>
      <c r="D9" s="183"/>
      <c r="E9" s="194"/>
      <c r="F9" s="194"/>
      <c r="G9" s="194"/>
      <c r="H9" s="94" t="s">
        <v>6</v>
      </c>
      <c r="I9" s="94" t="s">
        <v>7</v>
      </c>
      <c r="J9" s="200"/>
      <c r="K9" s="209"/>
      <c r="L9" s="194"/>
      <c r="M9" s="196"/>
      <c r="N9" s="198"/>
      <c r="O9" s="200"/>
      <c r="P9" s="155" t="s">
        <v>130</v>
      </c>
      <c r="Q9" s="156" t="s">
        <v>132</v>
      </c>
      <c r="R9" s="194"/>
    </row>
    <row r="10" spans="1:18" ht="18.75" customHeight="1" thickBot="1">
      <c r="A10" s="32"/>
      <c r="B10" s="33">
        <v>1</v>
      </c>
      <c r="C10" s="34">
        <v>2</v>
      </c>
      <c r="D10" s="35">
        <v>3</v>
      </c>
      <c r="E10" s="36">
        <v>4</v>
      </c>
      <c r="F10" s="36">
        <v>5</v>
      </c>
      <c r="G10" s="37">
        <v>6</v>
      </c>
      <c r="H10" s="37" t="s">
        <v>9</v>
      </c>
      <c r="I10" s="37" t="s">
        <v>10</v>
      </c>
      <c r="J10" s="38">
        <v>9</v>
      </c>
      <c r="K10" s="39">
        <v>10</v>
      </c>
      <c r="L10" s="37">
        <v>11</v>
      </c>
      <c r="M10" s="40">
        <v>12</v>
      </c>
      <c r="N10" s="37" t="s">
        <v>57</v>
      </c>
      <c r="O10" s="38">
        <v>14</v>
      </c>
      <c r="P10" s="41" t="s">
        <v>21</v>
      </c>
      <c r="Q10" s="151">
        <v>4</v>
      </c>
      <c r="R10" s="36">
        <v>5</v>
      </c>
    </row>
    <row r="11" spans="1:18" s="61" customFormat="1" ht="25.5" customHeight="1">
      <c r="A11" s="56" t="s">
        <v>17</v>
      </c>
      <c r="B11" s="57" t="s">
        <v>13</v>
      </c>
      <c r="C11" s="58" t="s">
        <v>33</v>
      </c>
      <c r="D11" s="109" t="e">
        <f>#REF!+D12+D14+D18</f>
        <v>#REF!</v>
      </c>
      <c r="E11" s="110" t="e">
        <f>#REF!+E12+E14+E18</f>
        <v>#REF!</v>
      </c>
      <c r="F11" s="59" t="e">
        <f>#REF!+F12+F14+F18</f>
        <v>#REF!</v>
      </c>
      <c r="G11" s="59" t="e">
        <f>#REF!+G12+G14+G18</f>
        <v>#REF!</v>
      </c>
      <c r="H11" s="59" t="e">
        <f>D11/F11/12</f>
        <v>#REF!</v>
      </c>
      <c r="I11" s="55">
        <v>43.5609911406423</v>
      </c>
      <c r="J11" s="60">
        <v>41.5</v>
      </c>
      <c r="K11" s="109" t="e">
        <f>#REF!+K12+K14+K18+K16</f>
        <v>#REF!</v>
      </c>
      <c r="L11" s="110" t="e">
        <f>#REF!+L12+L14+L18+L16</f>
        <v>#REF!</v>
      </c>
      <c r="M11" s="110" t="e">
        <f>#REF!+M12+M14+M18+M16</f>
        <v>#REF!</v>
      </c>
      <c r="N11" s="172" t="e">
        <f>(#REF!*#REF!+N12*M12+N14*M14+N16*M16+N18*M18)/M11</f>
        <v>#REF!</v>
      </c>
      <c r="O11" s="173">
        <v>44.1</v>
      </c>
      <c r="P11" s="149">
        <f>P12+P14+P18+P16</f>
        <v>106103.59</v>
      </c>
      <c r="Q11" s="110">
        <f>Q12+Q14+Q18+Q16</f>
        <v>29610.22</v>
      </c>
      <c r="R11" s="150">
        <f>R12+R14+R18+R16</f>
        <v>130.23000000000002</v>
      </c>
    </row>
    <row r="12" spans="1:18" s="61" customFormat="1" ht="64.5" customHeight="1">
      <c r="A12" s="62" t="s">
        <v>18</v>
      </c>
      <c r="B12" s="52" t="s">
        <v>14</v>
      </c>
      <c r="C12" s="63" t="s">
        <v>107</v>
      </c>
      <c r="D12" s="119">
        <v>3320</v>
      </c>
      <c r="E12" s="112">
        <v>392.2</v>
      </c>
      <c r="F12" s="47">
        <v>4</v>
      </c>
      <c r="G12" s="47">
        <v>4</v>
      </c>
      <c r="H12" s="46">
        <f>D12/F12/12</f>
        <v>69.16666666666667</v>
      </c>
      <c r="I12" s="46">
        <f>D12/G12/12</f>
        <v>69.16666666666667</v>
      </c>
      <c r="J12" s="31" t="s">
        <v>42</v>
      </c>
      <c r="K12" s="111">
        <v>3984</v>
      </c>
      <c r="L12" s="112">
        <v>419.81</v>
      </c>
      <c r="M12" s="47">
        <v>4</v>
      </c>
      <c r="N12" s="45">
        <f>K12/M12/12</f>
        <v>83</v>
      </c>
      <c r="O12" s="31" t="s">
        <v>42</v>
      </c>
      <c r="P12" s="111">
        <v>4284.56</v>
      </c>
      <c r="Q12" s="112">
        <v>1094.96</v>
      </c>
      <c r="R12" s="47">
        <v>4</v>
      </c>
    </row>
    <row r="13" spans="1:18" s="61" customFormat="1" ht="34.5" customHeight="1" hidden="1">
      <c r="A13" s="62"/>
      <c r="B13" s="52"/>
      <c r="C13" s="148" t="s">
        <v>75</v>
      </c>
      <c r="D13" s="119"/>
      <c r="E13" s="112"/>
      <c r="F13" s="47"/>
      <c r="G13" s="47"/>
      <c r="H13" s="46"/>
      <c r="I13" s="46"/>
      <c r="J13" s="31"/>
      <c r="K13" s="111"/>
      <c r="L13" s="112"/>
      <c r="M13" s="47"/>
      <c r="N13" s="45"/>
      <c r="O13" s="31"/>
      <c r="P13" s="111">
        <v>39254.85</v>
      </c>
      <c r="Q13" s="112">
        <v>2745.47</v>
      </c>
      <c r="R13" s="47">
        <v>69.75</v>
      </c>
    </row>
    <row r="14" spans="1:18" s="61" customFormat="1" ht="74.25" customHeight="1">
      <c r="A14" s="62" t="s">
        <v>19</v>
      </c>
      <c r="B14" s="52" t="s">
        <v>15</v>
      </c>
      <c r="C14" s="63" t="s">
        <v>151</v>
      </c>
      <c r="D14" s="119">
        <v>40109.35</v>
      </c>
      <c r="E14" s="112">
        <v>6769.35</v>
      </c>
      <c r="F14" s="47">
        <v>79</v>
      </c>
      <c r="G14" s="47">
        <v>78</v>
      </c>
      <c r="H14" s="46">
        <f>D14/F14/12</f>
        <v>42.30944092827004</v>
      </c>
      <c r="I14" s="46">
        <f>D14/G14/12.2</f>
        <v>42.14937999159311</v>
      </c>
      <c r="J14" s="31" t="s">
        <v>42</v>
      </c>
      <c r="K14" s="111">
        <v>46784.54</v>
      </c>
      <c r="L14" s="112">
        <v>6866.37</v>
      </c>
      <c r="M14" s="47">
        <v>66</v>
      </c>
      <c r="N14" s="45">
        <f>K14/M14/12</f>
        <v>59.07138888888889</v>
      </c>
      <c r="O14" s="31" t="s">
        <v>42</v>
      </c>
      <c r="P14" s="111">
        <v>69831.17</v>
      </c>
      <c r="Q14" s="112">
        <v>19226.75</v>
      </c>
      <c r="R14" s="47">
        <v>82.1</v>
      </c>
    </row>
    <row r="15" spans="1:18" s="61" customFormat="1" ht="52.5" customHeight="1" hidden="1">
      <c r="A15" s="62"/>
      <c r="B15" s="52"/>
      <c r="C15" s="148" t="s">
        <v>74</v>
      </c>
      <c r="D15" s="119"/>
      <c r="E15" s="112"/>
      <c r="F15" s="47"/>
      <c r="G15" s="47"/>
      <c r="H15" s="46"/>
      <c r="I15" s="46"/>
      <c r="J15" s="31"/>
      <c r="K15" s="111"/>
      <c r="L15" s="112"/>
      <c r="M15" s="47"/>
      <c r="N15" s="45"/>
      <c r="O15" s="31"/>
      <c r="P15" s="111">
        <v>46784.54</v>
      </c>
      <c r="Q15" s="112">
        <v>6866.37</v>
      </c>
      <c r="R15" s="47">
        <v>64</v>
      </c>
    </row>
    <row r="16" spans="1:18" s="61" customFormat="1" ht="57.75" customHeight="1">
      <c r="A16" s="62" t="s">
        <v>37</v>
      </c>
      <c r="B16" s="52" t="s">
        <v>59</v>
      </c>
      <c r="C16" s="63" t="s">
        <v>115</v>
      </c>
      <c r="D16" s="113"/>
      <c r="E16" s="114"/>
      <c r="F16" s="54">
        <v>0</v>
      </c>
      <c r="G16" s="54"/>
      <c r="H16" s="54"/>
      <c r="I16" s="54"/>
      <c r="J16" s="31" t="s">
        <v>42</v>
      </c>
      <c r="K16" s="113">
        <v>156.78</v>
      </c>
      <c r="L16" s="114">
        <v>41.08</v>
      </c>
      <c r="M16" s="54">
        <v>5</v>
      </c>
      <c r="N16" s="45">
        <f>K16/1</f>
        <v>156.78</v>
      </c>
      <c r="O16" s="31" t="s">
        <v>42</v>
      </c>
      <c r="P16" s="166">
        <v>2775.58</v>
      </c>
      <c r="Q16" s="167">
        <v>688.43</v>
      </c>
      <c r="R16" s="161">
        <v>1.93</v>
      </c>
    </row>
    <row r="17" spans="1:18" s="61" customFormat="1" ht="34.5" customHeight="1" hidden="1">
      <c r="A17" s="62"/>
      <c r="B17" s="52"/>
      <c r="C17" s="148" t="s">
        <v>76</v>
      </c>
      <c r="D17" s="113"/>
      <c r="E17" s="114"/>
      <c r="F17" s="54"/>
      <c r="G17" s="54"/>
      <c r="H17" s="54"/>
      <c r="I17" s="54"/>
      <c r="J17" s="31"/>
      <c r="K17" s="113"/>
      <c r="L17" s="114"/>
      <c r="M17" s="54"/>
      <c r="N17" s="45"/>
      <c r="O17" s="31"/>
      <c r="P17" s="113">
        <v>156.78</v>
      </c>
      <c r="Q17" s="114">
        <v>41.08</v>
      </c>
      <c r="R17" s="54">
        <v>1</v>
      </c>
    </row>
    <row r="18" spans="1:18" s="61" customFormat="1" ht="51.75" customHeight="1">
      <c r="A18" s="62" t="s">
        <v>58</v>
      </c>
      <c r="B18" s="52" t="s">
        <v>111</v>
      </c>
      <c r="C18" s="63" t="s">
        <v>162</v>
      </c>
      <c r="D18" s="124">
        <v>1547</v>
      </c>
      <c r="E18" s="112">
        <v>347.48</v>
      </c>
      <c r="F18" s="47">
        <v>7</v>
      </c>
      <c r="G18" s="47">
        <v>6</v>
      </c>
      <c r="H18" s="46">
        <f>D18/F18/12</f>
        <v>18.416666666666668</v>
      </c>
      <c r="I18" s="46">
        <f>D18/G18/12</f>
        <v>21.48611111111111</v>
      </c>
      <c r="J18" s="31" t="s">
        <v>42</v>
      </c>
      <c r="K18" s="111">
        <v>7158.1</v>
      </c>
      <c r="L18" s="112">
        <v>1709.08</v>
      </c>
      <c r="M18" s="47">
        <f>7+23</f>
        <v>30</v>
      </c>
      <c r="N18" s="45">
        <f>K18/M18/10.67</f>
        <v>22.362074351765074</v>
      </c>
      <c r="O18" s="31" t="s">
        <v>42</v>
      </c>
      <c r="P18" s="111">
        <f>3524.54+9511.74+16176</f>
        <v>29212.28</v>
      </c>
      <c r="Q18" s="112">
        <f>1048.6+2812.16+4739.32</f>
        <v>8600.08</v>
      </c>
      <c r="R18" s="47">
        <f>4+18.2+20</f>
        <v>42.2</v>
      </c>
    </row>
    <row r="19" spans="1:18" s="61" customFormat="1" ht="45" customHeight="1" hidden="1">
      <c r="A19" s="62"/>
      <c r="B19" s="52"/>
      <c r="C19" s="131" t="s">
        <v>121</v>
      </c>
      <c r="D19" s="124"/>
      <c r="E19" s="112"/>
      <c r="F19" s="47"/>
      <c r="G19" s="47"/>
      <c r="H19" s="46"/>
      <c r="I19" s="46"/>
      <c r="J19" s="31"/>
      <c r="K19" s="111"/>
      <c r="L19" s="112"/>
      <c r="M19" s="47"/>
      <c r="N19" s="45"/>
      <c r="O19" s="31"/>
      <c r="P19" s="111">
        <v>1457.42</v>
      </c>
      <c r="Q19" s="112">
        <v>430.08</v>
      </c>
      <c r="R19" s="47">
        <v>7</v>
      </c>
    </row>
    <row r="20" spans="1:18" s="61" customFormat="1" ht="45" customHeight="1" hidden="1">
      <c r="A20" s="62"/>
      <c r="B20" s="52"/>
      <c r="C20" s="131" t="s">
        <v>77</v>
      </c>
      <c r="D20" s="124"/>
      <c r="E20" s="112"/>
      <c r="F20" s="47"/>
      <c r="G20" s="47"/>
      <c r="H20" s="46"/>
      <c r="I20" s="46"/>
      <c r="J20" s="31"/>
      <c r="K20" s="111"/>
      <c r="L20" s="112"/>
      <c r="M20" s="47"/>
      <c r="N20" s="45"/>
      <c r="O20" s="31"/>
      <c r="P20" s="111">
        <v>5891.69</v>
      </c>
      <c r="Q20" s="112">
        <v>1678.71</v>
      </c>
      <c r="R20" s="47">
        <v>24</v>
      </c>
    </row>
    <row r="21" spans="1:18" s="61" customFormat="1" ht="18.75" customHeight="1" hidden="1">
      <c r="A21" s="64" t="s">
        <v>20</v>
      </c>
      <c r="B21" s="51" t="s">
        <v>43</v>
      </c>
      <c r="C21" s="65" t="s">
        <v>44</v>
      </c>
      <c r="D21" s="115">
        <v>0</v>
      </c>
      <c r="E21" s="116">
        <v>0</v>
      </c>
      <c r="F21" s="66">
        <v>0</v>
      </c>
      <c r="G21" s="66">
        <v>0</v>
      </c>
      <c r="H21" s="66">
        <v>0</v>
      </c>
      <c r="I21" s="66">
        <v>0</v>
      </c>
      <c r="J21" s="31">
        <v>12.5</v>
      </c>
      <c r="K21" s="115">
        <v>0</v>
      </c>
      <c r="L21" s="116">
        <v>0</v>
      </c>
      <c r="M21" s="66">
        <v>0</v>
      </c>
      <c r="N21" s="66">
        <v>0</v>
      </c>
      <c r="O21" s="128">
        <v>12.71</v>
      </c>
      <c r="P21" s="115">
        <v>0</v>
      </c>
      <c r="Q21" s="116">
        <v>0</v>
      </c>
      <c r="R21" s="66">
        <v>0</v>
      </c>
    </row>
    <row r="22" spans="1:18" s="70" customFormat="1" ht="39" customHeight="1">
      <c r="A22" s="64" t="s">
        <v>20</v>
      </c>
      <c r="B22" s="67" t="s">
        <v>16</v>
      </c>
      <c r="C22" s="65" t="s">
        <v>34</v>
      </c>
      <c r="D22" s="117" t="e">
        <f>#REF!</f>
        <v>#REF!</v>
      </c>
      <c r="E22" s="118" t="e">
        <f>#REF!</f>
        <v>#REF!</v>
      </c>
      <c r="F22" s="68" t="e">
        <f>#REF!</f>
        <v>#REF!</v>
      </c>
      <c r="G22" s="68" t="e">
        <f>#REF!</f>
        <v>#REF!</v>
      </c>
      <c r="H22" s="68" t="e">
        <f>#REF!</f>
        <v>#REF!</v>
      </c>
      <c r="I22" s="68" t="e">
        <f>#REF!</f>
        <v>#REF!</v>
      </c>
      <c r="J22" s="31">
        <v>34.6</v>
      </c>
      <c r="K22" s="117" t="e">
        <f>#REF!</f>
        <v>#REF!</v>
      </c>
      <c r="L22" s="118" t="e">
        <f>#REF!</f>
        <v>#REF!</v>
      </c>
      <c r="M22" s="68" t="e">
        <f>#REF!</f>
        <v>#REF!</v>
      </c>
      <c r="N22" s="69" t="e">
        <f>K22/M22/12</f>
        <v>#REF!</v>
      </c>
      <c r="O22" s="128">
        <v>32.58</v>
      </c>
      <c r="P22" s="115">
        <f>P27+P28</f>
        <v>10717.81</v>
      </c>
      <c r="Q22" s="116">
        <f>Q27+Q28</f>
        <v>3126.92</v>
      </c>
      <c r="R22" s="179">
        <f>R27+R28</f>
        <v>16.6</v>
      </c>
    </row>
    <row r="23" spans="1:18" s="70" customFormat="1" ht="15" customHeight="1" hidden="1">
      <c r="A23" s="64" t="s">
        <v>28</v>
      </c>
      <c r="B23" s="51" t="s">
        <v>39</v>
      </c>
      <c r="C23" s="65" t="s">
        <v>40</v>
      </c>
      <c r="D23" s="121">
        <f aca="true" t="shared" si="0" ref="D23:I23">D24</f>
        <v>34.64</v>
      </c>
      <c r="E23" s="122">
        <f t="shared" si="0"/>
        <v>9.07</v>
      </c>
      <c r="F23" s="122">
        <f t="shared" si="0"/>
        <v>0</v>
      </c>
      <c r="G23" s="122">
        <f t="shared" si="0"/>
        <v>3</v>
      </c>
      <c r="H23" s="122">
        <f t="shared" si="0"/>
        <v>0</v>
      </c>
      <c r="I23" s="122">
        <f t="shared" si="0"/>
        <v>5.773333333333333</v>
      </c>
      <c r="J23" s="31">
        <v>30.5</v>
      </c>
      <c r="K23" s="121">
        <f>K24</f>
        <v>0</v>
      </c>
      <c r="L23" s="122">
        <f aca="true" t="shared" si="1" ref="L23:R23">L24</f>
        <v>0</v>
      </c>
      <c r="M23" s="122">
        <f t="shared" si="1"/>
        <v>0</v>
      </c>
      <c r="N23" s="122">
        <f t="shared" si="1"/>
        <v>0</v>
      </c>
      <c r="O23" s="162">
        <v>19.37</v>
      </c>
      <c r="P23" s="121">
        <f t="shared" si="1"/>
        <v>0</v>
      </c>
      <c r="Q23" s="122">
        <f t="shared" si="1"/>
        <v>0</v>
      </c>
      <c r="R23" s="122">
        <f t="shared" si="1"/>
        <v>0</v>
      </c>
    </row>
    <row r="24" spans="1:18" s="70" customFormat="1" ht="62.25" customHeight="1" hidden="1">
      <c r="A24" s="129" t="s">
        <v>64</v>
      </c>
      <c r="B24" s="130" t="s">
        <v>65</v>
      </c>
      <c r="C24" s="131" t="s">
        <v>66</v>
      </c>
      <c r="D24" s="138">
        <v>34.64</v>
      </c>
      <c r="E24" s="139">
        <v>9.07</v>
      </c>
      <c r="F24" s="133"/>
      <c r="G24" s="126">
        <v>3</v>
      </c>
      <c r="H24" s="66"/>
      <c r="I24" s="46">
        <f>D24/G24/2</f>
        <v>5.773333333333333</v>
      </c>
      <c r="J24" s="31"/>
      <c r="K24" s="138"/>
      <c r="L24" s="139"/>
      <c r="M24" s="133"/>
      <c r="N24" s="137"/>
      <c r="O24" s="132"/>
      <c r="P24" s="138"/>
      <c r="Q24" s="139"/>
      <c r="R24" s="126"/>
    </row>
    <row r="25" spans="1:18" s="70" customFormat="1" ht="26.25" customHeight="1" hidden="1">
      <c r="A25" s="64" t="s">
        <v>29</v>
      </c>
      <c r="B25" s="51" t="s">
        <v>45</v>
      </c>
      <c r="C25" s="65" t="s">
        <v>46</v>
      </c>
      <c r="D25" s="115">
        <v>0</v>
      </c>
      <c r="E25" s="116">
        <v>0</v>
      </c>
      <c r="F25" s="66">
        <v>0</v>
      </c>
      <c r="G25" s="66">
        <v>0</v>
      </c>
      <c r="H25" s="66">
        <v>0</v>
      </c>
      <c r="I25" s="66">
        <v>0</v>
      </c>
      <c r="J25" s="71">
        <v>27.2</v>
      </c>
      <c r="K25" s="115">
        <v>0</v>
      </c>
      <c r="L25" s="116">
        <v>0</v>
      </c>
      <c r="M25" s="66">
        <v>0</v>
      </c>
      <c r="N25" s="66">
        <v>0</v>
      </c>
      <c r="O25" s="163">
        <v>20.93</v>
      </c>
      <c r="P25" s="115">
        <v>0</v>
      </c>
      <c r="Q25" s="116">
        <v>0</v>
      </c>
      <c r="R25" s="66">
        <v>0</v>
      </c>
    </row>
    <row r="26" spans="1:18" s="70" customFormat="1" ht="15.75" customHeight="1" hidden="1">
      <c r="A26" s="64" t="s">
        <v>38</v>
      </c>
      <c r="B26" s="51" t="s">
        <v>47</v>
      </c>
      <c r="C26" s="65" t="s">
        <v>48</v>
      </c>
      <c r="D26" s="115">
        <v>0</v>
      </c>
      <c r="E26" s="116">
        <v>0</v>
      </c>
      <c r="F26" s="66">
        <v>0</v>
      </c>
      <c r="G26" s="66">
        <v>0</v>
      </c>
      <c r="H26" s="66">
        <v>0</v>
      </c>
      <c r="I26" s="66">
        <v>0</v>
      </c>
      <c r="J26" s="71">
        <v>0</v>
      </c>
      <c r="K26" s="115">
        <v>0</v>
      </c>
      <c r="L26" s="116">
        <v>0</v>
      </c>
      <c r="M26" s="66">
        <v>0</v>
      </c>
      <c r="N26" s="66">
        <v>0</v>
      </c>
      <c r="O26" s="71"/>
      <c r="P26" s="115">
        <v>0</v>
      </c>
      <c r="Q26" s="116">
        <v>0</v>
      </c>
      <c r="R26" s="66">
        <v>0</v>
      </c>
    </row>
    <row r="27" spans="1:18" s="70" customFormat="1" ht="15.75" customHeight="1">
      <c r="A27" s="129" t="s">
        <v>116</v>
      </c>
      <c r="B27" s="52" t="s">
        <v>140</v>
      </c>
      <c r="C27" s="148" t="s">
        <v>120</v>
      </c>
      <c r="D27" s="115"/>
      <c r="E27" s="116"/>
      <c r="F27" s="66"/>
      <c r="G27" s="66"/>
      <c r="H27" s="66"/>
      <c r="I27" s="66"/>
      <c r="J27" s="71"/>
      <c r="K27" s="115"/>
      <c r="L27" s="116"/>
      <c r="M27" s="66"/>
      <c r="N27" s="66"/>
      <c r="O27" s="71"/>
      <c r="P27" s="166">
        <v>1971.15</v>
      </c>
      <c r="Q27" s="167">
        <v>582.27</v>
      </c>
      <c r="R27" s="161">
        <v>3.6</v>
      </c>
    </row>
    <row r="28" spans="1:18" s="70" customFormat="1" ht="30" customHeight="1">
      <c r="A28" s="174" t="s">
        <v>141</v>
      </c>
      <c r="B28" s="52" t="s">
        <v>142</v>
      </c>
      <c r="C28" s="148" t="s">
        <v>143</v>
      </c>
      <c r="D28" s="115"/>
      <c r="E28" s="116"/>
      <c r="F28" s="66"/>
      <c r="G28" s="66"/>
      <c r="H28" s="66"/>
      <c r="I28" s="66"/>
      <c r="J28" s="71"/>
      <c r="K28" s="115"/>
      <c r="L28" s="116"/>
      <c r="M28" s="66"/>
      <c r="N28" s="66"/>
      <c r="O28" s="71"/>
      <c r="P28" s="166">
        <v>8746.66</v>
      </c>
      <c r="Q28" s="167">
        <v>2544.65</v>
      </c>
      <c r="R28" s="175">
        <v>13</v>
      </c>
    </row>
    <row r="29" spans="1:18" s="70" customFormat="1" ht="15.75" customHeight="1">
      <c r="A29" s="56" t="s">
        <v>21</v>
      </c>
      <c r="B29" s="67" t="s">
        <v>45</v>
      </c>
      <c r="C29" s="65" t="s">
        <v>123</v>
      </c>
      <c r="D29" s="115"/>
      <c r="E29" s="116"/>
      <c r="F29" s="66"/>
      <c r="G29" s="66"/>
      <c r="H29" s="66"/>
      <c r="I29" s="66"/>
      <c r="J29" s="71"/>
      <c r="K29" s="115"/>
      <c r="L29" s="116"/>
      <c r="M29" s="66"/>
      <c r="N29" s="66"/>
      <c r="O29" s="71"/>
      <c r="P29" s="115">
        <f>P30+P31</f>
        <v>19723.42</v>
      </c>
      <c r="Q29" s="116">
        <f>Q30+Q31</f>
        <v>5824.5599999999995</v>
      </c>
      <c r="R29" s="179">
        <f>R30+R31</f>
        <v>35.5</v>
      </c>
    </row>
    <row r="30" spans="1:18" s="70" customFormat="1" ht="30" customHeight="1">
      <c r="A30" s="174" t="s">
        <v>117</v>
      </c>
      <c r="B30" s="52" t="s">
        <v>145</v>
      </c>
      <c r="C30" s="63" t="s">
        <v>146</v>
      </c>
      <c r="D30" s="115"/>
      <c r="E30" s="116"/>
      <c r="F30" s="66"/>
      <c r="G30" s="66"/>
      <c r="H30" s="66"/>
      <c r="I30" s="66"/>
      <c r="J30" s="71"/>
      <c r="K30" s="115"/>
      <c r="L30" s="116"/>
      <c r="M30" s="66"/>
      <c r="N30" s="66"/>
      <c r="O30" s="71"/>
      <c r="P30" s="170">
        <v>7468.49</v>
      </c>
      <c r="Q30" s="170">
        <v>2251</v>
      </c>
      <c r="R30" s="170">
        <v>16.92</v>
      </c>
    </row>
    <row r="31" spans="1:18" s="70" customFormat="1" ht="24">
      <c r="A31" s="174" t="s">
        <v>144</v>
      </c>
      <c r="B31" s="52" t="s">
        <v>124</v>
      </c>
      <c r="C31" s="63" t="s">
        <v>133</v>
      </c>
      <c r="D31" s="115"/>
      <c r="E31" s="116"/>
      <c r="F31" s="66"/>
      <c r="G31" s="66"/>
      <c r="H31" s="66"/>
      <c r="I31" s="66"/>
      <c r="J31" s="71"/>
      <c r="K31" s="115"/>
      <c r="L31" s="116"/>
      <c r="M31" s="66"/>
      <c r="N31" s="66"/>
      <c r="O31" s="71"/>
      <c r="P31" s="170">
        <v>12254.93</v>
      </c>
      <c r="Q31" s="167">
        <v>3573.56</v>
      </c>
      <c r="R31" s="161">
        <v>18.58</v>
      </c>
    </row>
    <row r="32" spans="1:18" s="61" customFormat="1" ht="27.75" customHeight="1">
      <c r="A32" s="64" t="s">
        <v>28</v>
      </c>
      <c r="B32" s="51" t="s">
        <v>22</v>
      </c>
      <c r="C32" s="72" t="s">
        <v>35</v>
      </c>
      <c r="D32" s="121">
        <f>D33+D39+D44+D56</f>
        <v>204677.36</v>
      </c>
      <c r="E32" s="122">
        <f>E33+E39+E44+E56</f>
        <v>44749.09</v>
      </c>
      <c r="F32" s="69">
        <f>F33+F39+F44+F56</f>
        <v>1071.06</v>
      </c>
      <c r="G32" s="69">
        <f>G33+G39+G44+G56</f>
        <v>833</v>
      </c>
      <c r="H32" s="68">
        <f>D32/F32/12</f>
        <v>15.924828363179154</v>
      </c>
      <c r="I32" s="68">
        <f>D32/G32/12</f>
        <v>20.47592637054822</v>
      </c>
      <c r="J32" s="31">
        <v>20.2</v>
      </c>
      <c r="K32" s="121">
        <f>K33+K39+K44+K56</f>
        <v>241687.63000000003</v>
      </c>
      <c r="L32" s="122">
        <f>L33+L39+L44+L56</f>
        <v>58055.96</v>
      </c>
      <c r="M32" s="69">
        <f>M33+M39+M44+M56</f>
        <v>1055.18</v>
      </c>
      <c r="N32" s="69">
        <f>K32/M32/12</f>
        <v>19.087393462094937</v>
      </c>
      <c r="O32" s="128">
        <v>18.81</v>
      </c>
      <c r="P32" s="115">
        <f>P33+P39+P44+P55+P56</f>
        <v>624738.76</v>
      </c>
      <c r="Q32" s="116">
        <f>Q33+Q39+Q44+Q55+Q56</f>
        <v>181393.58999999997</v>
      </c>
      <c r="R32" s="179">
        <f>R33+R39+R44+R55+R56</f>
        <v>917.0199999999999</v>
      </c>
    </row>
    <row r="33" spans="1:18" s="15" customFormat="1" ht="72.75" customHeight="1">
      <c r="A33" s="62" t="s">
        <v>64</v>
      </c>
      <c r="B33" s="52" t="s">
        <v>23</v>
      </c>
      <c r="C33" s="63" t="s">
        <v>128</v>
      </c>
      <c r="D33" s="113">
        <v>44030.09</v>
      </c>
      <c r="E33" s="114">
        <v>9951.25</v>
      </c>
      <c r="F33" s="47">
        <v>259.75</v>
      </c>
      <c r="G33" s="54">
        <v>233</v>
      </c>
      <c r="H33" s="46">
        <f>D33/F33/12</f>
        <v>14.125790824510746</v>
      </c>
      <c r="I33" s="46">
        <f>D33/G33/12</f>
        <v>15.74752861230329</v>
      </c>
      <c r="J33" s="31" t="s">
        <v>42</v>
      </c>
      <c r="K33" s="119">
        <v>50188.66</v>
      </c>
      <c r="L33" s="120">
        <v>12064.24</v>
      </c>
      <c r="M33" s="47">
        <v>259.75</v>
      </c>
      <c r="N33" s="45">
        <f>K33/M33/12</f>
        <v>16.10159127366057</v>
      </c>
      <c r="O33" s="31" t="s">
        <v>42</v>
      </c>
      <c r="P33" s="119">
        <v>266565.38</v>
      </c>
      <c r="Q33" s="120">
        <v>79198.37</v>
      </c>
      <c r="R33" s="161">
        <v>446</v>
      </c>
    </row>
    <row r="34" spans="1:18" s="15" customFormat="1" ht="15" customHeight="1" hidden="1">
      <c r="A34" s="62"/>
      <c r="B34" s="52"/>
      <c r="C34" s="148" t="s">
        <v>83</v>
      </c>
      <c r="D34" s="113"/>
      <c r="E34" s="114"/>
      <c r="F34" s="47"/>
      <c r="G34" s="54"/>
      <c r="H34" s="46"/>
      <c r="I34" s="46"/>
      <c r="J34" s="31"/>
      <c r="K34" s="119"/>
      <c r="L34" s="120"/>
      <c r="M34" s="47"/>
      <c r="N34" s="45"/>
      <c r="O34" s="31"/>
      <c r="P34" s="119">
        <v>7133</v>
      </c>
      <c r="Q34" s="120">
        <v>1780.76</v>
      </c>
      <c r="R34" s="54">
        <v>37</v>
      </c>
    </row>
    <row r="35" spans="1:18" s="15" customFormat="1" ht="15" customHeight="1" hidden="1">
      <c r="A35" s="62"/>
      <c r="B35" s="52"/>
      <c r="C35" s="148" t="s">
        <v>84</v>
      </c>
      <c r="D35" s="113"/>
      <c r="E35" s="114"/>
      <c r="F35" s="47"/>
      <c r="G35" s="54"/>
      <c r="H35" s="46"/>
      <c r="I35" s="46"/>
      <c r="J35" s="31"/>
      <c r="K35" s="119"/>
      <c r="L35" s="120"/>
      <c r="M35" s="47"/>
      <c r="N35" s="45"/>
      <c r="O35" s="31"/>
      <c r="P35" s="119">
        <v>15375</v>
      </c>
      <c r="Q35" s="120">
        <v>3687.1</v>
      </c>
      <c r="R35" s="54">
        <v>65</v>
      </c>
    </row>
    <row r="36" spans="1:18" s="15" customFormat="1" ht="15" customHeight="1" hidden="1">
      <c r="A36" s="62"/>
      <c r="B36" s="52"/>
      <c r="C36" s="148" t="s">
        <v>85</v>
      </c>
      <c r="D36" s="113"/>
      <c r="E36" s="114"/>
      <c r="F36" s="47"/>
      <c r="G36" s="54"/>
      <c r="H36" s="46"/>
      <c r="I36" s="46"/>
      <c r="J36" s="31"/>
      <c r="K36" s="119"/>
      <c r="L36" s="120"/>
      <c r="M36" s="47"/>
      <c r="N36" s="45"/>
      <c r="O36" s="31"/>
      <c r="P36" s="119">
        <v>9516</v>
      </c>
      <c r="Q36" s="120">
        <v>2329.03</v>
      </c>
      <c r="R36" s="54">
        <v>40</v>
      </c>
    </row>
    <row r="37" spans="1:18" s="15" customFormat="1" ht="15" customHeight="1" hidden="1">
      <c r="A37" s="62"/>
      <c r="B37" s="52"/>
      <c r="C37" s="148" t="s">
        <v>86</v>
      </c>
      <c r="D37" s="113"/>
      <c r="E37" s="114"/>
      <c r="F37" s="47"/>
      <c r="G37" s="54"/>
      <c r="H37" s="46"/>
      <c r="I37" s="46"/>
      <c r="J37" s="31"/>
      <c r="K37" s="119"/>
      <c r="L37" s="120"/>
      <c r="M37" s="47"/>
      <c r="N37" s="45"/>
      <c r="O37" s="31"/>
      <c r="P37" s="119">
        <v>18053.32</v>
      </c>
      <c r="Q37" s="120">
        <v>4238.18</v>
      </c>
      <c r="R37" s="54">
        <v>78</v>
      </c>
    </row>
    <row r="38" spans="1:18" s="15" customFormat="1" ht="15" customHeight="1" hidden="1">
      <c r="A38" s="62"/>
      <c r="B38" s="52"/>
      <c r="C38" s="148"/>
      <c r="D38" s="113"/>
      <c r="E38" s="114"/>
      <c r="F38" s="47"/>
      <c r="G38" s="54"/>
      <c r="H38" s="46"/>
      <c r="I38" s="46"/>
      <c r="J38" s="31"/>
      <c r="K38" s="119"/>
      <c r="L38" s="120"/>
      <c r="M38" s="47"/>
      <c r="N38" s="45"/>
      <c r="O38" s="31"/>
      <c r="P38" s="119">
        <v>111.34</v>
      </c>
      <c r="Q38" s="120">
        <v>29.17</v>
      </c>
      <c r="R38" s="54">
        <v>2</v>
      </c>
    </row>
    <row r="39" spans="1:18" s="61" customFormat="1" ht="63.75" customHeight="1">
      <c r="A39" s="62" t="s">
        <v>122</v>
      </c>
      <c r="B39" s="52" t="s">
        <v>24</v>
      </c>
      <c r="C39" s="63" t="s">
        <v>139</v>
      </c>
      <c r="D39" s="113">
        <v>85990.91</v>
      </c>
      <c r="E39" s="114">
        <v>19378.42</v>
      </c>
      <c r="F39" s="47">
        <v>421</v>
      </c>
      <c r="G39" s="54">
        <v>317</v>
      </c>
      <c r="H39" s="46">
        <f>D39/F39/12</f>
        <v>17.021161916072845</v>
      </c>
      <c r="I39" s="46">
        <f>D39/G39/12</f>
        <v>22.605391692954786</v>
      </c>
      <c r="J39" s="31" t="s">
        <v>42</v>
      </c>
      <c r="K39" s="119">
        <v>101829.59</v>
      </c>
      <c r="L39" s="120">
        <v>26709.32</v>
      </c>
      <c r="M39" s="47">
        <v>405.64</v>
      </c>
      <c r="N39" s="47">
        <f>K39/M39/12</f>
        <v>20.919532508299643</v>
      </c>
      <c r="O39" s="31" t="s">
        <v>42</v>
      </c>
      <c r="P39" s="119">
        <v>223738.64</v>
      </c>
      <c r="Q39" s="120">
        <v>63694.46</v>
      </c>
      <c r="R39" s="161">
        <v>279.58</v>
      </c>
    </row>
    <row r="40" spans="1:18" s="61" customFormat="1" ht="27.75" customHeight="1" hidden="1">
      <c r="A40" s="62"/>
      <c r="B40" s="51"/>
      <c r="C40" s="148" t="s">
        <v>87</v>
      </c>
      <c r="D40" s="113"/>
      <c r="E40" s="114"/>
      <c r="F40" s="47"/>
      <c r="G40" s="54"/>
      <c r="H40" s="46"/>
      <c r="I40" s="46"/>
      <c r="J40" s="31"/>
      <c r="K40" s="119"/>
      <c r="L40" s="120"/>
      <c r="M40" s="47"/>
      <c r="N40" s="47"/>
      <c r="O40" s="31"/>
      <c r="P40" s="113">
        <v>30446.16</v>
      </c>
      <c r="Q40" s="114">
        <v>6889.02</v>
      </c>
      <c r="R40" s="54">
        <v>92</v>
      </c>
    </row>
    <row r="41" spans="1:18" s="61" customFormat="1" ht="27.75" customHeight="1" hidden="1">
      <c r="A41" s="62"/>
      <c r="B41" s="51"/>
      <c r="C41" s="148" t="s">
        <v>88</v>
      </c>
      <c r="D41" s="113"/>
      <c r="E41" s="114"/>
      <c r="F41" s="47"/>
      <c r="G41" s="54"/>
      <c r="H41" s="46"/>
      <c r="I41" s="46"/>
      <c r="J41" s="31"/>
      <c r="K41" s="119"/>
      <c r="L41" s="120"/>
      <c r="M41" s="47"/>
      <c r="N41" s="47"/>
      <c r="O41" s="31"/>
      <c r="P41" s="113">
        <v>23692.86</v>
      </c>
      <c r="Q41" s="114">
        <v>5625.73</v>
      </c>
      <c r="R41" s="54">
        <v>75</v>
      </c>
    </row>
    <row r="42" spans="1:18" s="61" customFormat="1" ht="28.5" customHeight="1" hidden="1">
      <c r="A42" s="62"/>
      <c r="B42" s="51"/>
      <c r="C42" s="148" t="s">
        <v>89</v>
      </c>
      <c r="D42" s="113"/>
      <c r="E42" s="114"/>
      <c r="F42" s="47"/>
      <c r="G42" s="54"/>
      <c r="H42" s="46"/>
      <c r="I42" s="46"/>
      <c r="J42" s="31"/>
      <c r="K42" s="119"/>
      <c r="L42" s="120"/>
      <c r="M42" s="47"/>
      <c r="N42" s="47"/>
      <c r="O42" s="31"/>
      <c r="P42" s="113">
        <v>14591.55</v>
      </c>
      <c r="Q42" s="114">
        <v>3753.99</v>
      </c>
      <c r="R42" s="54">
        <v>54</v>
      </c>
    </row>
    <row r="43" spans="1:18" s="61" customFormat="1" ht="29.25" customHeight="1" hidden="1">
      <c r="A43" s="62"/>
      <c r="B43" s="51"/>
      <c r="C43" s="148" t="s">
        <v>90</v>
      </c>
      <c r="D43" s="113"/>
      <c r="E43" s="114"/>
      <c r="F43" s="47"/>
      <c r="G43" s="54"/>
      <c r="H43" s="46"/>
      <c r="I43" s="46"/>
      <c r="J43" s="31"/>
      <c r="K43" s="119"/>
      <c r="L43" s="120"/>
      <c r="M43" s="47"/>
      <c r="N43" s="47"/>
      <c r="O43" s="31"/>
      <c r="P43" s="113">
        <v>33074.06</v>
      </c>
      <c r="Q43" s="114">
        <v>7625.67</v>
      </c>
      <c r="R43" s="54">
        <v>96</v>
      </c>
    </row>
    <row r="44" spans="1:18" s="61" customFormat="1" ht="26.25" customHeight="1">
      <c r="A44" s="73" t="s">
        <v>135</v>
      </c>
      <c r="B44" s="52" t="s">
        <v>136</v>
      </c>
      <c r="C44" s="63" t="s">
        <v>32</v>
      </c>
      <c r="D44" s="113">
        <v>63269.09</v>
      </c>
      <c r="E44" s="114">
        <v>12890.57</v>
      </c>
      <c r="F44" s="47">
        <f>234.71+109.35</f>
        <v>344.06</v>
      </c>
      <c r="G44" s="54">
        <f>180+63</f>
        <v>243</v>
      </c>
      <c r="H44" s="46">
        <f>D44/F44/12</f>
        <v>15.324141622585207</v>
      </c>
      <c r="I44" s="46">
        <f>D44/G44/12.06</f>
        <v>21.589272430713372</v>
      </c>
      <c r="J44" s="31" t="s">
        <v>42</v>
      </c>
      <c r="K44" s="119">
        <v>76111.96</v>
      </c>
      <c r="L44" s="120">
        <v>16005.12</v>
      </c>
      <c r="M44" s="47">
        <f>234.71+108.83</f>
        <v>343.54</v>
      </c>
      <c r="N44" s="47">
        <f>K44/M44/12</f>
        <v>18.462663251246823</v>
      </c>
      <c r="O44" s="31" t="s">
        <v>42</v>
      </c>
      <c r="P44" s="119">
        <f>P45+P49</f>
        <v>103526.62</v>
      </c>
      <c r="Q44" s="120">
        <f>Q45+Q49</f>
        <v>29490.18</v>
      </c>
      <c r="R44" s="54">
        <f>R45+R49</f>
        <v>139.76999999999998</v>
      </c>
    </row>
    <row r="45" spans="1:18" s="61" customFormat="1" ht="75" customHeight="1">
      <c r="A45" s="73" t="s">
        <v>137</v>
      </c>
      <c r="B45" s="51"/>
      <c r="C45" s="63" t="s">
        <v>129</v>
      </c>
      <c r="D45" s="113"/>
      <c r="E45" s="114"/>
      <c r="F45" s="47"/>
      <c r="G45" s="54"/>
      <c r="H45" s="46"/>
      <c r="I45" s="46"/>
      <c r="J45" s="31"/>
      <c r="K45" s="119"/>
      <c r="L45" s="120"/>
      <c r="M45" s="47"/>
      <c r="N45" s="47"/>
      <c r="O45" s="31"/>
      <c r="P45" s="119">
        <v>49571.92</v>
      </c>
      <c r="Q45" s="120">
        <v>14246.42</v>
      </c>
      <c r="R45" s="161">
        <v>64.6</v>
      </c>
    </row>
    <row r="46" spans="1:18" s="61" customFormat="1" ht="26.25" customHeight="1" hidden="1">
      <c r="A46" s="73" t="s">
        <v>49</v>
      </c>
      <c r="B46" s="51"/>
      <c r="C46" s="148" t="s">
        <v>91</v>
      </c>
      <c r="D46" s="113"/>
      <c r="E46" s="114"/>
      <c r="F46" s="47"/>
      <c r="G46" s="54"/>
      <c r="H46" s="46"/>
      <c r="I46" s="46"/>
      <c r="J46" s="31"/>
      <c r="K46" s="119"/>
      <c r="L46" s="120"/>
      <c r="M46" s="47"/>
      <c r="N46" s="47"/>
      <c r="O46" s="31"/>
      <c r="P46" s="119">
        <f>59796.08+33185.52</f>
        <v>92981.6</v>
      </c>
      <c r="Q46" s="120">
        <f>15871.57+8819.24</f>
        <v>24690.809999999998</v>
      </c>
      <c r="R46" s="161">
        <f>159+70.5</f>
        <v>229.5</v>
      </c>
    </row>
    <row r="47" spans="1:18" s="61" customFormat="1" ht="26.25" customHeight="1" hidden="1">
      <c r="A47" s="73" t="s">
        <v>49</v>
      </c>
      <c r="B47" s="51"/>
      <c r="C47" s="148" t="s">
        <v>92</v>
      </c>
      <c r="D47" s="113"/>
      <c r="E47" s="114"/>
      <c r="F47" s="47"/>
      <c r="G47" s="54"/>
      <c r="H47" s="46"/>
      <c r="I47" s="46"/>
      <c r="J47" s="31"/>
      <c r="K47" s="119"/>
      <c r="L47" s="120"/>
      <c r="M47" s="47"/>
      <c r="N47" s="47"/>
      <c r="O47" s="31"/>
      <c r="P47" s="119">
        <f>59796.08+33185.52</f>
        <v>92981.6</v>
      </c>
      <c r="Q47" s="120">
        <f>15871.57+8819.24</f>
        <v>24690.809999999998</v>
      </c>
      <c r="R47" s="161">
        <f>159+70.5</f>
        <v>229.5</v>
      </c>
    </row>
    <row r="48" spans="1:18" s="61" customFormat="1" ht="26.25" customHeight="1" hidden="1">
      <c r="A48" s="73" t="s">
        <v>49</v>
      </c>
      <c r="B48" s="51"/>
      <c r="C48" s="148" t="s">
        <v>93</v>
      </c>
      <c r="D48" s="113"/>
      <c r="E48" s="114"/>
      <c r="F48" s="47"/>
      <c r="G48" s="54"/>
      <c r="H48" s="46"/>
      <c r="I48" s="46"/>
      <c r="J48" s="31"/>
      <c r="K48" s="119"/>
      <c r="L48" s="120"/>
      <c r="M48" s="47"/>
      <c r="N48" s="47"/>
      <c r="O48" s="31"/>
      <c r="P48" s="119">
        <f>59796.08+33185.52</f>
        <v>92981.6</v>
      </c>
      <c r="Q48" s="120">
        <f>15871.57+8819.24</f>
        <v>24690.809999999998</v>
      </c>
      <c r="R48" s="161">
        <f>159+70.5</f>
        <v>229.5</v>
      </c>
    </row>
    <row r="49" spans="1:18" s="61" customFormat="1" ht="48">
      <c r="A49" s="73" t="s">
        <v>138</v>
      </c>
      <c r="B49" s="51"/>
      <c r="C49" s="63" t="s">
        <v>153</v>
      </c>
      <c r="D49" s="113"/>
      <c r="E49" s="114"/>
      <c r="F49" s="47"/>
      <c r="G49" s="54"/>
      <c r="H49" s="46"/>
      <c r="I49" s="46"/>
      <c r="J49" s="31"/>
      <c r="K49" s="119"/>
      <c r="L49" s="120"/>
      <c r="M49" s="47"/>
      <c r="N49" s="47"/>
      <c r="O49" s="31"/>
      <c r="P49" s="119">
        <v>53954.7</v>
      </c>
      <c r="Q49" s="120">
        <v>15243.76</v>
      </c>
      <c r="R49" s="161">
        <v>75.17</v>
      </c>
    </row>
    <row r="50" spans="1:18" s="61" customFormat="1" ht="26.25" customHeight="1" hidden="1">
      <c r="A50" s="73" t="s">
        <v>138</v>
      </c>
      <c r="B50" s="51"/>
      <c r="C50" s="148" t="s">
        <v>94</v>
      </c>
      <c r="D50" s="113"/>
      <c r="E50" s="114"/>
      <c r="F50" s="47"/>
      <c r="G50" s="54"/>
      <c r="H50" s="46"/>
      <c r="I50" s="46"/>
      <c r="J50" s="31"/>
      <c r="K50" s="119"/>
      <c r="L50" s="120"/>
      <c r="M50" s="47"/>
      <c r="N50" s="47"/>
      <c r="O50" s="31"/>
      <c r="P50" s="119">
        <f>59796.08+33349.41</f>
        <v>93145.49</v>
      </c>
      <c r="Q50" s="120">
        <f>15871.57+9404.63</f>
        <v>25276.199999999997</v>
      </c>
      <c r="R50" s="47">
        <f>233.35+108.9</f>
        <v>342.25</v>
      </c>
    </row>
    <row r="51" spans="1:18" s="61" customFormat="1" ht="26.25" customHeight="1" hidden="1">
      <c r="A51" s="73" t="s">
        <v>49</v>
      </c>
      <c r="B51" s="51"/>
      <c r="C51" s="148" t="s">
        <v>95</v>
      </c>
      <c r="D51" s="113"/>
      <c r="E51" s="114"/>
      <c r="F51" s="47"/>
      <c r="G51" s="54"/>
      <c r="H51" s="46"/>
      <c r="I51" s="46"/>
      <c r="J51" s="31"/>
      <c r="K51" s="119"/>
      <c r="L51" s="120"/>
      <c r="M51" s="47"/>
      <c r="N51" s="47"/>
      <c r="O51" s="31"/>
      <c r="P51" s="119">
        <f>59796.08+33349.41</f>
        <v>93145.49</v>
      </c>
      <c r="Q51" s="120">
        <f>15871.57+9404.63</f>
        <v>25276.199999999997</v>
      </c>
      <c r="R51" s="47">
        <f>233.35+108.9</f>
        <v>342.25</v>
      </c>
    </row>
    <row r="52" spans="1:18" s="61" customFormat="1" ht="26.25" customHeight="1" hidden="1">
      <c r="A52" s="73" t="s">
        <v>49</v>
      </c>
      <c r="B52" s="51"/>
      <c r="C52" s="148" t="s">
        <v>96</v>
      </c>
      <c r="D52" s="113"/>
      <c r="E52" s="114"/>
      <c r="F52" s="47"/>
      <c r="G52" s="54"/>
      <c r="H52" s="46"/>
      <c r="I52" s="46"/>
      <c r="J52" s="31"/>
      <c r="K52" s="119"/>
      <c r="L52" s="120"/>
      <c r="M52" s="47"/>
      <c r="N52" s="47"/>
      <c r="O52" s="31"/>
      <c r="P52" s="119">
        <f>59796.08+33349.41</f>
        <v>93145.49</v>
      </c>
      <c r="Q52" s="120">
        <f>15871.57+9404.63</f>
        <v>25276.199999999997</v>
      </c>
      <c r="R52" s="47">
        <f>233.35+108.9</f>
        <v>342.25</v>
      </c>
    </row>
    <row r="53" spans="1:18" s="61" customFormat="1" ht="26.25" customHeight="1" hidden="1">
      <c r="A53" s="73" t="s">
        <v>49</v>
      </c>
      <c r="B53" s="51"/>
      <c r="C53" s="148" t="s">
        <v>97</v>
      </c>
      <c r="D53" s="113"/>
      <c r="E53" s="114"/>
      <c r="F53" s="47"/>
      <c r="G53" s="54"/>
      <c r="H53" s="46"/>
      <c r="I53" s="46"/>
      <c r="J53" s="31"/>
      <c r="K53" s="119"/>
      <c r="L53" s="120"/>
      <c r="M53" s="47"/>
      <c r="N53" s="47"/>
      <c r="O53" s="31"/>
      <c r="P53" s="119">
        <f>59796.08+33349.41</f>
        <v>93145.49</v>
      </c>
      <c r="Q53" s="120">
        <f>15871.57+9404.63</f>
        <v>25276.199999999997</v>
      </c>
      <c r="R53" s="47">
        <f>233.35+108.9</f>
        <v>342.25</v>
      </c>
    </row>
    <row r="54" spans="1:18" s="61" customFormat="1" ht="26.25" customHeight="1" hidden="1">
      <c r="A54" s="73" t="s">
        <v>147</v>
      </c>
      <c r="B54" s="51"/>
      <c r="C54" s="148" t="s">
        <v>98</v>
      </c>
      <c r="D54" s="113"/>
      <c r="E54" s="114"/>
      <c r="F54" s="47"/>
      <c r="G54" s="54"/>
      <c r="H54" s="46"/>
      <c r="I54" s="46"/>
      <c r="J54" s="31"/>
      <c r="K54" s="119"/>
      <c r="L54" s="120"/>
      <c r="M54" s="47"/>
      <c r="N54" s="47"/>
      <c r="O54" s="31"/>
      <c r="P54" s="119">
        <f>59796.08+33349.41</f>
        <v>93145.49</v>
      </c>
      <c r="Q54" s="120">
        <f>15871.57+9404.63</f>
        <v>25276.199999999997</v>
      </c>
      <c r="R54" s="47">
        <f>233.35+108.9</f>
        <v>342.25</v>
      </c>
    </row>
    <row r="55" spans="1:18" s="61" customFormat="1" ht="26.25" customHeight="1">
      <c r="A55" s="73" t="s">
        <v>134</v>
      </c>
      <c r="B55" s="52" t="s">
        <v>148</v>
      </c>
      <c r="C55" s="63" t="s">
        <v>149</v>
      </c>
      <c r="D55" s="113"/>
      <c r="E55" s="114"/>
      <c r="F55" s="47"/>
      <c r="G55" s="54"/>
      <c r="H55" s="46"/>
      <c r="I55" s="46"/>
      <c r="J55" s="31"/>
      <c r="K55" s="119"/>
      <c r="L55" s="120"/>
      <c r="M55" s="47"/>
      <c r="N55" s="47"/>
      <c r="O55" s="31"/>
      <c r="P55" s="119">
        <v>689.33</v>
      </c>
      <c r="Q55" s="120">
        <v>208.18</v>
      </c>
      <c r="R55" s="47">
        <v>10</v>
      </c>
    </row>
    <row r="56" spans="1:18" s="61" customFormat="1" ht="65.25" customHeight="1">
      <c r="A56" s="74" t="s">
        <v>150</v>
      </c>
      <c r="B56" s="52" t="s">
        <v>31</v>
      </c>
      <c r="C56" s="75" t="s">
        <v>159</v>
      </c>
      <c r="D56" s="113">
        <v>11387.27</v>
      </c>
      <c r="E56" s="114">
        <v>2528.85</v>
      </c>
      <c r="F56" s="47">
        <v>46.25</v>
      </c>
      <c r="G56" s="54">
        <v>40</v>
      </c>
      <c r="H56" s="46">
        <f aca="true" t="shared" si="2" ref="H56:H69">D56/F56/12</f>
        <v>20.517603603603604</v>
      </c>
      <c r="I56" s="46">
        <f>D56/G56/12</f>
        <v>23.723479166666667</v>
      </c>
      <c r="J56" s="31" t="s">
        <v>42</v>
      </c>
      <c r="K56" s="119">
        <v>13557.42</v>
      </c>
      <c r="L56" s="120">
        <v>3277.28</v>
      </c>
      <c r="M56" s="47">
        <v>46.25</v>
      </c>
      <c r="N56" s="47">
        <f aca="true" t="shared" si="3" ref="N56:N69">K56/M56/12</f>
        <v>24.427783783783784</v>
      </c>
      <c r="O56" s="31" t="s">
        <v>42</v>
      </c>
      <c r="P56" s="119">
        <f>11250+18968.79</f>
        <v>30218.79</v>
      </c>
      <c r="Q56" s="120">
        <f>3313.54+5488.86</f>
        <v>8802.4</v>
      </c>
      <c r="R56" s="47">
        <f>15.84+25.83</f>
        <v>41.67</v>
      </c>
    </row>
    <row r="57" spans="1:18" s="61" customFormat="1" ht="24.75" customHeight="1" hidden="1">
      <c r="A57" s="74"/>
      <c r="B57" s="52"/>
      <c r="C57" s="152" t="s">
        <v>79</v>
      </c>
      <c r="D57" s="113"/>
      <c r="E57" s="114"/>
      <c r="F57" s="47"/>
      <c r="G57" s="54"/>
      <c r="H57" s="46"/>
      <c r="I57" s="46"/>
      <c r="J57" s="31"/>
      <c r="K57" s="119"/>
      <c r="L57" s="120"/>
      <c r="M57" s="47"/>
      <c r="N57" s="47"/>
      <c r="O57" s="31"/>
      <c r="P57" s="119">
        <v>4767.61</v>
      </c>
      <c r="Q57" s="120">
        <v>1489.56</v>
      </c>
      <c r="R57" s="161">
        <v>17</v>
      </c>
    </row>
    <row r="58" spans="1:18" s="61" customFormat="1" ht="37.5" customHeight="1" hidden="1">
      <c r="A58" s="76"/>
      <c r="B58" s="51"/>
      <c r="C58" s="148" t="s">
        <v>78</v>
      </c>
      <c r="D58" s="113">
        <v>6516.27</v>
      </c>
      <c r="E58" s="114">
        <v>1427.67</v>
      </c>
      <c r="F58" s="47">
        <v>21.25</v>
      </c>
      <c r="G58" s="54">
        <v>22</v>
      </c>
      <c r="H58" s="46">
        <f t="shared" si="2"/>
        <v>25.554000000000002</v>
      </c>
      <c r="I58" s="46">
        <f>D58/G58/12</f>
        <v>24.68284090909091</v>
      </c>
      <c r="J58" s="31" t="s">
        <v>42</v>
      </c>
      <c r="K58" s="119">
        <v>7689.42</v>
      </c>
      <c r="L58" s="120">
        <v>1879.29</v>
      </c>
      <c r="M58" s="47">
        <v>21.25</v>
      </c>
      <c r="N58" s="47">
        <f t="shared" si="3"/>
        <v>30.154588235294117</v>
      </c>
      <c r="O58" s="31" t="s">
        <v>42</v>
      </c>
      <c r="P58" s="119">
        <v>6821.48</v>
      </c>
      <c r="Q58" s="120">
        <v>2032.6</v>
      </c>
      <c r="R58" s="161">
        <v>22</v>
      </c>
    </row>
    <row r="59" spans="1:18" s="61" customFormat="1" ht="39" customHeight="1">
      <c r="A59" s="77" t="s">
        <v>29</v>
      </c>
      <c r="B59" s="51" t="s">
        <v>27</v>
      </c>
      <c r="C59" s="72" t="s">
        <v>60</v>
      </c>
      <c r="D59" s="121">
        <f>D60+D64</f>
        <v>54359.34</v>
      </c>
      <c r="E59" s="122">
        <f>E60+E64</f>
        <v>13094.22</v>
      </c>
      <c r="F59" s="69">
        <f>F60+F64</f>
        <v>326.75</v>
      </c>
      <c r="G59" s="69">
        <f>G60+G64</f>
        <v>234.5</v>
      </c>
      <c r="H59" s="68">
        <f t="shared" si="2"/>
        <v>13.863641928079572</v>
      </c>
      <c r="I59" s="68">
        <f>D59/G59/(D60/G59/I60+D64/G59/I64)</f>
        <v>19.242073963947224</v>
      </c>
      <c r="J59" s="31">
        <v>15</v>
      </c>
      <c r="K59" s="121">
        <f>K60+K64</f>
        <v>65074</v>
      </c>
      <c r="L59" s="122">
        <f>L60+L64</f>
        <v>14810.55</v>
      </c>
      <c r="M59" s="69">
        <f>M60+M64</f>
        <v>323.75</v>
      </c>
      <c r="N59" s="69">
        <f t="shared" si="3"/>
        <v>16.75006435006435</v>
      </c>
      <c r="O59" s="128">
        <v>16.59</v>
      </c>
      <c r="P59" s="121">
        <f>P60</f>
        <v>148607.82</v>
      </c>
      <c r="Q59" s="122">
        <f>Q60</f>
        <v>42183.15</v>
      </c>
      <c r="R59" s="69">
        <f>R60+R64</f>
        <v>203.5</v>
      </c>
    </row>
    <row r="60" spans="1:18" s="61" customFormat="1" ht="51" customHeight="1">
      <c r="A60" s="73" t="s">
        <v>119</v>
      </c>
      <c r="B60" s="52" t="s">
        <v>25</v>
      </c>
      <c r="C60" s="75" t="s">
        <v>113</v>
      </c>
      <c r="D60" s="113">
        <v>49121.34</v>
      </c>
      <c r="E60" s="114">
        <v>11941.17</v>
      </c>
      <c r="F60" s="47">
        <v>310.75</v>
      </c>
      <c r="G60" s="54">
        <f>71.5+149</f>
        <v>220.5</v>
      </c>
      <c r="H60" s="46">
        <f t="shared" si="2"/>
        <v>13.172791633145614</v>
      </c>
      <c r="I60" s="46">
        <f>D60/G60/12.05</f>
        <v>18.48734580969317</v>
      </c>
      <c r="J60" s="31" t="s">
        <v>42</v>
      </c>
      <c r="K60" s="119">
        <v>58677</v>
      </c>
      <c r="L60" s="120">
        <v>13460.9</v>
      </c>
      <c r="M60" s="47">
        <f>68.25+6.5+232.5</f>
        <v>307.25</v>
      </c>
      <c r="N60" s="45">
        <f t="shared" si="3"/>
        <v>15.914564686737185</v>
      </c>
      <c r="O60" s="31" t="s">
        <v>42</v>
      </c>
      <c r="P60" s="119">
        <v>148607.82</v>
      </c>
      <c r="Q60" s="120">
        <v>42183.15</v>
      </c>
      <c r="R60" s="161">
        <v>203.5</v>
      </c>
    </row>
    <row r="61" spans="1:18" s="61" customFormat="1" ht="15.75" customHeight="1" hidden="1">
      <c r="A61" s="73"/>
      <c r="B61" s="52"/>
      <c r="C61" s="152" t="s">
        <v>100</v>
      </c>
      <c r="D61" s="113"/>
      <c r="E61" s="114"/>
      <c r="F61" s="47"/>
      <c r="G61" s="54"/>
      <c r="H61" s="46"/>
      <c r="I61" s="46"/>
      <c r="J61" s="31"/>
      <c r="K61" s="119"/>
      <c r="L61" s="120"/>
      <c r="M61" s="47"/>
      <c r="N61" s="45"/>
      <c r="O61" s="31"/>
      <c r="P61" s="119">
        <v>1341</v>
      </c>
      <c r="Q61" s="120">
        <v>332.86</v>
      </c>
      <c r="R61" s="54">
        <v>6</v>
      </c>
    </row>
    <row r="62" spans="1:18" s="61" customFormat="1" ht="33" customHeight="1" hidden="1">
      <c r="A62" s="73"/>
      <c r="B62" s="52"/>
      <c r="C62" s="152" t="s">
        <v>101</v>
      </c>
      <c r="D62" s="113"/>
      <c r="E62" s="114"/>
      <c r="F62" s="47"/>
      <c r="G62" s="54"/>
      <c r="H62" s="46"/>
      <c r="I62" s="46"/>
      <c r="J62" s="31"/>
      <c r="K62" s="119"/>
      <c r="L62" s="120"/>
      <c r="M62" s="47"/>
      <c r="N62" s="45"/>
      <c r="O62" s="31"/>
      <c r="P62" s="119">
        <v>12722</v>
      </c>
      <c r="Q62" s="120">
        <v>3307.92</v>
      </c>
      <c r="R62" s="54">
        <v>67</v>
      </c>
    </row>
    <row r="63" spans="1:18" s="61" customFormat="1" ht="15.75" customHeight="1" hidden="1">
      <c r="A63" s="73"/>
      <c r="B63" s="52"/>
      <c r="C63" s="152" t="s">
        <v>99</v>
      </c>
      <c r="D63" s="113"/>
      <c r="E63" s="114"/>
      <c r="F63" s="47"/>
      <c r="G63" s="54"/>
      <c r="H63" s="46"/>
      <c r="I63" s="46"/>
      <c r="J63" s="31"/>
      <c r="K63" s="119"/>
      <c r="L63" s="120"/>
      <c r="M63" s="47"/>
      <c r="N63" s="45"/>
      <c r="O63" s="31"/>
      <c r="P63" s="119">
        <v>44614</v>
      </c>
      <c r="Q63" s="120">
        <v>9820.12</v>
      </c>
      <c r="R63" s="54">
        <v>149</v>
      </c>
    </row>
    <row r="64" spans="1:18" s="61" customFormat="1" ht="67.5" customHeight="1" hidden="1" thickBot="1">
      <c r="A64" s="73" t="s">
        <v>125</v>
      </c>
      <c r="B64" s="52" t="s">
        <v>110</v>
      </c>
      <c r="C64" s="75" t="s">
        <v>114</v>
      </c>
      <c r="D64" s="113">
        <v>5238</v>
      </c>
      <c r="E64" s="114">
        <v>1153.05</v>
      </c>
      <c r="F64" s="47">
        <v>16</v>
      </c>
      <c r="G64" s="54">
        <f>G65</f>
        <v>14</v>
      </c>
      <c r="H64" s="46">
        <f t="shared" si="2"/>
        <v>27.28125</v>
      </c>
      <c r="I64" s="46">
        <f>D64/G64/12</f>
        <v>31.17857142857143</v>
      </c>
      <c r="J64" s="31" t="s">
        <v>42</v>
      </c>
      <c r="K64" s="119">
        <v>6397</v>
      </c>
      <c r="L64" s="120">
        <v>1349.65</v>
      </c>
      <c r="M64" s="47">
        <v>16.5</v>
      </c>
      <c r="N64" s="47">
        <f t="shared" si="3"/>
        <v>32.30808080808081</v>
      </c>
      <c r="O64" s="31" t="s">
        <v>42</v>
      </c>
      <c r="P64" s="119"/>
      <c r="Q64" s="120"/>
      <c r="R64" s="161"/>
    </row>
    <row r="65" spans="1:18" s="61" customFormat="1" ht="48" customHeight="1" hidden="1">
      <c r="A65" s="73"/>
      <c r="B65" s="52"/>
      <c r="C65" s="152" t="s">
        <v>80</v>
      </c>
      <c r="D65" s="113">
        <v>5238</v>
      </c>
      <c r="E65" s="114">
        <v>1153.05</v>
      </c>
      <c r="F65" s="47">
        <v>16</v>
      </c>
      <c r="G65" s="54">
        <v>14</v>
      </c>
      <c r="H65" s="46">
        <f t="shared" si="2"/>
        <v>27.28125</v>
      </c>
      <c r="I65" s="46">
        <f>D65/G65/12</f>
        <v>31.17857142857143</v>
      </c>
      <c r="J65" s="31" t="s">
        <v>42</v>
      </c>
      <c r="K65" s="119">
        <v>6397</v>
      </c>
      <c r="L65" s="120">
        <v>1349.65</v>
      </c>
      <c r="M65" s="47">
        <v>16.5</v>
      </c>
      <c r="N65" s="47">
        <f t="shared" si="3"/>
        <v>32.30808080808081</v>
      </c>
      <c r="O65" s="31" t="s">
        <v>42</v>
      </c>
      <c r="P65" s="119">
        <v>6397</v>
      </c>
      <c r="Q65" s="120">
        <v>1349.65</v>
      </c>
      <c r="R65" s="54">
        <v>15</v>
      </c>
    </row>
    <row r="66" spans="1:18" s="61" customFormat="1" ht="40.5" customHeight="1" hidden="1">
      <c r="A66" s="77" t="s">
        <v>28</v>
      </c>
      <c r="B66" s="51" t="s">
        <v>30</v>
      </c>
      <c r="C66" s="72" t="s">
        <v>103</v>
      </c>
      <c r="D66" s="125">
        <f>D69+D71+D70</f>
        <v>57602.89</v>
      </c>
      <c r="E66" s="116">
        <f>E69+E71+E70</f>
        <v>12283.57</v>
      </c>
      <c r="F66" s="69">
        <f>F69+F71+F70</f>
        <v>214.25</v>
      </c>
      <c r="G66" s="134">
        <f>G69+G71+G70</f>
        <v>184</v>
      </c>
      <c r="H66" s="68">
        <f t="shared" si="2"/>
        <v>22.404858031894204</v>
      </c>
      <c r="I66" s="68">
        <f>D66/G66/12</f>
        <v>26.08826539855072</v>
      </c>
      <c r="J66" s="31">
        <v>24</v>
      </c>
      <c r="K66" s="123">
        <f>K69+K71+K70</f>
        <v>69864.68</v>
      </c>
      <c r="L66" s="122">
        <f>L69+L71+L70</f>
        <v>15341.08</v>
      </c>
      <c r="M66" s="69">
        <f>M69+M71+M70</f>
        <v>214.25</v>
      </c>
      <c r="N66" s="78">
        <f t="shared" si="3"/>
        <v>27.17412679891093</v>
      </c>
      <c r="O66" s="128">
        <v>23.66</v>
      </c>
      <c r="P66" s="125">
        <f>P68</f>
        <v>0</v>
      </c>
      <c r="Q66" s="116">
        <f>Q68</f>
        <v>0</v>
      </c>
      <c r="R66" s="134">
        <f>R68</f>
        <v>0</v>
      </c>
    </row>
    <row r="67" spans="1:18" s="61" customFormat="1" ht="30" customHeight="1" hidden="1">
      <c r="A67" s="77"/>
      <c r="B67" s="51"/>
      <c r="C67" s="152" t="s">
        <v>102</v>
      </c>
      <c r="D67" s="125"/>
      <c r="E67" s="116"/>
      <c r="F67" s="69"/>
      <c r="G67" s="134"/>
      <c r="H67" s="68"/>
      <c r="I67" s="68"/>
      <c r="J67" s="31"/>
      <c r="K67" s="123"/>
      <c r="L67" s="122"/>
      <c r="M67" s="69"/>
      <c r="N67" s="78"/>
      <c r="O67" s="128"/>
      <c r="P67" s="125">
        <f>SUM(P69:P72)</f>
        <v>0</v>
      </c>
      <c r="Q67" s="116">
        <f>SUM(Q69:Q72)</f>
        <v>0</v>
      </c>
      <c r="R67" s="134">
        <f>SUM(R69:R72)</f>
        <v>0</v>
      </c>
    </row>
    <row r="68" spans="1:18" s="61" customFormat="1" ht="54" customHeight="1" hidden="1">
      <c r="A68" s="158" t="s">
        <v>64</v>
      </c>
      <c r="B68" s="157" t="s">
        <v>108</v>
      </c>
      <c r="C68" s="159" t="s">
        <v>112</v>
      </c>
      <c r="D68" s="125"/>
      <c r="E68" s="116"/>
      <c r="F68" s="69"/>
      <c r="G68" s="134"/>
      <c r="H68" s="68"/>
      <c r="I68" s="68"/>
      <c r="J68" s="31"/>
      <c r="K68" s="123"/>
      <c r="L68" s="122"/>
      <c r="M68" s="69"/>
      <c r="N68" s="78"/>
      <c r="O68" s="128"/>
      <c r="P68" s="119"/>
      <c r="Q68" s="120"/>
      <c r="R68" s="161"/>
    </row>
    <row r="69" spans="1:18" s="61" customFormat="1" ht="39" customHeight="1" hidden="1">
      <c r="A69" s="73" t="s">
        <v>50</v>
      </c>
      <c r="B69" s="52" t="s">
        <v>26</v>
      </c>
      <c r="C69" s="75" t="s">
        <v>104</v>
      </c>
      <c r="D69" s="113">
        <v>30802.36</v>
      </c>
      <c r="E69" s="114">
        <v>6534.29</v>
      </c>
      <c r="F69" s="47">
        <v>103.75</v>
      </c>
      <c r="G69" s="126">
        <v>92</v>
      </c>
      <c r="H69" s="46">
        <f t="shared" si="2"/>
        <v>24.74085140562249</v>
      </c>
      <c r="I69" s="46">
        <f>D69/G69/12</f>
        <v>27.9006884057971</v>
      </c>
      <c r="J69" s="31" t="s">
        <v>42</v>
      </c>
      <c r="K69" s="119">
        <v>36864.68</v>
      </c>
      <c r="L69" s="120">
        <v>7980.62</v>
      </c>
      <c r="M69" s="47">
        <v>103.75</v>
      </c>
      <c r="N69" s="47">
        <f t="shared" si="3"/>
        <v>29.610184738955823</v>
      </c>
      <c r="O69" s="31" t="s">
        <v>42</v>
      </c>
      <c r="P69" s="119"/>
      <c r="Q69" s="120"/>
      <c r="R69" s="126"/>
    </row>
    <row r="70" spans="1:18" s="61" customFormat="1" ht="31.5" customHeight="1" hidden="1">
      <c r="A70" s="73" t="s">
        <v>51</v>
      </c>
      <c r="B70" s="52" t="s">
        <v>61</v>
      </c>
      <c r="C70" s="79" t="s">
        <v>105</v>
      </c>
      <c r="D70" s="113">
        <v>12193.08</v>
      </c>
      <c r="E70" s="114">
        <v>2643.86</v>
      </c>
      <c r="F70" s="47">
        <v>69</v>
      </c>
      <c r="G70" s="126">
        <v>59</v>
      </c>
      <c r="H70" s="46">
        <f>D70/F70/12</f>
        <v>14.725942028985507</v>
      </c>
      <c r="I70" s="46">
        <f>D70/G70/12</f>
        <v>17.221864406779662</v>
      </c>
      <c r="J70" s="31"/>
      <c r="K70" s="119">
        <v>15716</v>
      </c>
      <c r="L70" s="120">
        <v>3569.85</v>
      </c>
      <c r="M70" s="47">
        <v>69</v>
      </c>
      <c r="N70" s="47">
        <f>K70/M70/12</f>
        <v>18.980676328502415</v>
      </c>
      <c r="O70" s="31" t="s">
        <v>42</v>
      </c>
      <c r="P70" s="119"/>
      <c r="Q70" s="120"/>
      <c r="R70" s="126"/>
    </row>
    <row r="71" spans="1:18" s="61" customFormat="1" ht="39.75" customHeight="1" hidden="1">
      <c r="A71" s="62" t="s">
        <v>62</v>
      </c>
      <c r="B71" s="52" t="s">
        <v>52</v>
      </c>
      <c r="C71" s="79" t="s">
        <v>106</v>
      </c>
      <c r="D71" s="113">
        <v>14607.45</v>
      </c>
      <c r="E71" s="114">
        <v>3105.42</v>
      </c>
      <c r="F71" s="54">
        <v>41.5</v>
      </c>
      <c r="G71" s="126">
        <v>33</v>
      </c>
      <c r="H71" s="46">
        <f>D71/F71/12</f>
        <v>29.332228915662654</v>
      </c>
      <c r="I71" s="46">
        <f>D71/G71/12</f>
        <v>36.8875</v>
      </c>
      <c r="J71" s="31" t="s">
        <v>42</v>
      </c>
      <c r="K71" s="113">
        <v>17284</v>
      </c>
      <c r="L71" s="114">
        <v>3790.61</v>
      </c>
      <c r="M71" s="54">
        <v>41.5</v>
      </c>
      <c r="N71" s="47">
        <f>K71/M71/12</f>
        <v>34.70682730923695</v>
      </c>
      <c r="O71" s="31" t="s">
        <v>42</v>
      </c>
      <c r="P71" s="113"/>
      <c r="Q71" s="114"/>
      <c r="R71" s="126"/>
    </row>
    <row r="72" spans="1:18" s="61" customFormat="1" ht="45" customHeight="1" hidden="1">
      <c r="A72" s="62" t="s">
        <v>118</v>
      </c>
      <c r="B72" s="52"/>
      <c r="C72" s="79" t="s">
        <v>109</v>
      </c>
      <c r="D72" s="113"/>
      <c r="E72" s="114"/>
      <c r="F72" s="54"/>
      <c r="G72" s="126"/>
      <c r="H72" s="46"/>
      <c r="I72" s="46"/>
      <c r="J72" s="31"/>
      <c r="K72" s="113"/>
      <c r="L72" s="114"/>
      <c r="M72" s="54"/>
      <c r="N72" s="47"/>
      <c r="O72" s="31"/>
      <c r="P72" s="113"/>
      <c r="Q72" s="114"/>
      <c r="R72" s="54"/>
    </row>
    <row r="73" spans="1:38" s="61" customFormat="1" ht="27" customHeight="1" hidden="1">
      <c r="A73" s="62" t="s">
        <v>53</v>
      </c>
      <c r="B73" s="53" t="s">
        <v>54</v>
      </c>
      <c r="C73" s="79" t="s">
        <v>55</v>
      </c>
      <c r="D73" s="113"/>
      <c r="E73" s="114"/>
      <c r="F73" s="98"/>
      <c r="G73" s="98"/>
      <c r="H73" s="54"/>
      <c r="I73" s="54"/>
      <c r="J73" s="31" t="s">
        <v>42</v>
      </c>
      <c r="K73" s="113"/>
      <c r="L73" s="114"/>
      <c r="M73" s="98"/>
      <c r="N73" s="54"/>
      <c r="O73" s="31" t="s">
        <v>42</v>
      </c>
      <c r="P73" s="113"/>
      <c r="Q73" s="114"/>
      <c r="R73" s="98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</row>
    <row r="74" spans="1:38" s="61" customFormat="1" ht="27" customHeight="1" hidden="1">
      <c r="A74" s="62"/>
      <c r="B74" s="53"/>
      <c r="C74" s="153" t="s">
        <v>81</v>
      </c>
      <c r="D74" s="143"/>
      <c r="E74" s="144"/>
      <c r="F74" s="145"/>
      <c r="G74" s="145"/>
      <c r="H74" s="146"/>
      <c r="I74" s="146"/>
      <c r="J74" s="147"/>
      <c r="K74" s="143"/>
      <c r="L74" s="144"/>
      <c r="M74" s="145"/>
      <c r="N74" s="146"/>
      <c r="O74" s="147"/>
      <c r="P74" s="113"/>
      <c r="Q74" s="176"/>
      <c r="R74" s="177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5" spans="1:38" s="61" customFormat="1" ht="27" customHeight="1" hidden="1" thickBot="1">
      <c r="A75" s="141"/>
      <c r="B75" s="142"/>
      <c r="C75" s="154" t="s">
        <v>82</v>
      </c>
      <c r="D75" s="143"/>
      <c r="E75" s="144"/>
      <c r="F75" s="145"/>
      <c r="G75" s="145"/>
      <c r="H75" s="146"/>
      <c r="I75" s="146"/>
      <c r="J75" s="147"/>
      <c r="K75" s="143"/>
      <c r="L75" s="144"/>
      <c r="M75" s="145"/>
      <c r="N75" s="146"/>
      <c r="O75" s="147"/>
      <c r="P75" s="143"/>
      <c r="Q75" s="144"/>
      <c r="R75" s="178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</row>
    <row r="76" spans="1:38" s="61" customFormat="1" ht="27" customHeight="1">
      <c r="A76" s="64" t="s">
        <v>38</v>
      </c>
      <c r="B76" s="51" t="s">
        <v>155</v>
      </c>
      <c r="C76" s="72" t="s">
        <v>156</v>
      </c>
      <c r="D76" s="143"/>
      <c r="E76" s="144"/>
      <c r="F76" s="145"/>
      <c r="G76" s="145"/>
      <c r="H76" s="146"/>
      <c r="I76" s="146"/>
      <c r="J76" s="147"/>
      <c r="K76" s="143"/>
      <c r="L76" s="144"/>
      <c r="M76" s="145"/>
      <c r="N76" s="146"/>
      <c r="O76" s="147"/>
      <c r="P76" s="121">
        <f>P77+P78</f>
        <v>36273.79</v>
      </c>
      <c r="Q76" s="122">
        <f>Q77+Q78</f>
        <v>10401.619999999999</v>
      </c>
      <c r="R76" s="69">
        <f>R77+R78</f>
        <v>56.08</v>
      </c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7" spans="1:38" s="61" customFormat="1" ht="30" customHeight="1">
      <c r="A77" s="62"/>
      <c r="B77" s="52" t="s">
        <v>152</v>
      </c>
      <c r="C77" s="75" t="s">
        <v>157</v>
      </c>
      <c r="D77" s="143"/>
      <c r="E77" s="144"/>
      <c r="F77" s="145"/>
      <c r="G77" s="145"/>
      <c r="H77" s="146"/>
      <c r="I77" s="146"/>
      <c r="J77" s="147"/>
      <c r="K77" s="143"/>
      <c r="L77" s="144"/>
      <c r="M77" s="145"/>
      <c r="N77" s="146"/>
      <c r="O77" s="147"/>
      <c r="P77" s="119">
        <v>20814.9</v>
      </c>
      <c r="Q77" s="120">
        <v>5969.72</v>
      </c>
      <c r="R77" s="161">
        <v>29.18</v>
      </c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</row>
    <row r="78" spans="1:38" s="61" customFormat="1" ht="47.25" customHeight="1" thickBot="1">
      <c r="A78" s="62"/>
      <c r="B78" s="52" t="s">
        <v>154</v>
      </c>
      <c r="C78" s="180" t="s">
        <v>158</v>
      </c>
      <c r="D78" s="143"/>
      <c r="E78" s="144"/>
      <c r="F78" s="145"/>
      <c r="G78" s="145"/>
      <c r="H78" s="146"/>
      <c r="I78" s="146"/>
      <c r="J78" s="147"/>
      <c r="K78" s="143"/>
      <c r="L78" s="144"/>
      <c r="M78" s="145"/>
      <c r="N78" s="146"/>
      <c r="O78" s="147"/>
      <c r="P78" s="143">
        <v>15458.89</v>
      </c>
      <c r="Q78" s="144">
        <v>4431.9</v>
      </c>
      <c r="R78" s="161">
        <v>26.9</v>
      </c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</row>
    <row r="79" spans="1:20" s="91" customFormat="1" ht="14.25" thickBot="1">
      <c r="A79" s="81"/>
      <c r="B79" s="82"/>
      <c r="C79" s="83" t="s">
        <v>56</v>
      </c>
      <c r="D79" s="84" t="e">
        <f>D11+D22+D23+D32+D59+D66+#REF!</f>
        <v>#REF!</v>
      </c>
      <c r="E79" s="85" t="e">
        <f>E11+E22+E23+E32+E59+E66+#REF!</f>
        <v>#REF!</v>
      </c>
      <c r="F79" s="88" t="e">
        <f>F11+F22+F23+F32+F59+F66+#REF!</f>
        <v>#REF!</v>
      </c>
      <c r="G79" s="89" t="e">
        <f>G11+G22+G23+G32+G59+G66+#REF!</f>
        <v>#REF!</v>
      </c>
      <c r="H79" s="86" t="e">
        <f>D79/F79/12</f>
        <v>#REF!</v>
      </c>
      <c r="I79" s="86" t="e">
        <f>D79/G79/10.606</f>
        <v>#REF!</v>
      </c>
      <c r="J79" s="87">
        <v>22.9</v>
      </c>
      <c r="K79" s="84" t="e">
        <f>K11+K22+K23+K32+K59+K66+#REF!</f>
        <v>#REF!</v>
      </c>
      <c r="L79" s="85" t="e">
        <f>L11+L22+L23+L32+L59+L66+#REF!</f>
        <v>#REF!</v>
      </c>
      <c r="M79" s="88" t="e">
        <f>M11+M22+M23+M32+M59+M66+#REF!</f>
        <v>#REF!</v>
      </c>
      <c r="N79" s="90" t="e">
        <f>(M11*N11+M22*N22+M32*N32+M59*N59+M66*N66+#REF!*#REF!)/M79</f>
        <v>#REF!</v>
      </c>
      <c r="O79" s="164">
        <v>22.02</v>
      </c>
      <c r="P79" s="171">
        <f>P11+P29+P32+P59+P66+P22+P76</f>
        <v>946165.1900000002</v>
      </c>
      <c r="Q79" s="171">
        <f>Q11+Q29+Q32+Q59+Q66+Q22+Q76</f>
        <v>272540.06</v>
      </c>
      <c r="R79" s="171">
        <f>R11+R29+R32+R59+R66+R22+R76</f>
        <v>1358.9299999999998</v>
      </c>
      <c r="S79" s="160"/>
      <c r="T79" s="160"/>
    </row>
    <row r="80" spans="1:18" s="16" customFormat="1" ht="76.5" customHeight="1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</row>
    <row r="81" spans="1:18" s="16" customFormat="1" ht="13.5" hidden="1">
      <c r="A81" s="17"/>
      <c r="B81" s="18"/>
      <c r="C81" s="18"/>
      <c r="D81" s="18"/>
      <c r="E81" s="18"/>
      <c r="F81" s="18"/>
      <c r="G81" s="18"/>
      <c r="H81" s="19"/>
      <c r="I81" s="19"/>
      <c r="J81" s="19"/>
      <c r="K81" s="18"/>
      <c r="L81" s="18"/>
      <c r="M81" s="99"/>
      <c r="N81" s="20"/>
      <c r="O81" s="20"/>
      <c r="P81" s="165">
        <f>P79-P72</f>
        <v>946165.1900000002</v>
      </c>
      <c r="Q81" s="165">
        <f>Q79-Q72</f>
        <v>272540.06</v>
      </c>
      <c r="R81" s="165">
        <f>R79-R72</f>
        <v>1358.9299999999998</v>
      </c>
    </row>
    <row r="82" spans="1:18" s="16" customFormat="1" ht="6" customHeight="1" hidden="1">
      <c r="A82" s="17"/>
      <c r="B82" s="18"/>
      <c r="C82" s="18"/>
      <c r="D82" s="18"/>
      <c r="E82" s="18"/>
      <c r="F82" s="18"/>
      <c r="G82" s="18"/>
      <c r="H82" s="19"/>
      <c r="I82" s="19"/>
      <c r="J82" s="19"/>
      <c r="K82" s="18"/>
      <c r="L82" s="18"/>
      <c r="M82" s="99"/>
      <c r="N82" s="20"/>
      <c r="O82" s="20"/>
      <c r="P82" s="18"/>
      <c r="Q82" s="18"/>
      <c r="R82" s="99"/>
    </row>
    <row r="83" spans="2:18" s="16" customFormat="1" ht="13.5" customHeight="1" hidden="1">
      <c r="B83" s="22"/>
      <c r="C83" s="18"/>
      <c r="D83" s="18"/>
      <c r="E83" s="18"/>
      <c r="F83" s="18"/>
      <c r="G83" s="18"/>
      <c r="H83" s="19"/>
      <c r="I83" s="19"/>
      <c r="J83" s="19"/>
      <c r="K83" s="18"/>
      <c r="L83" s="18"/>
      <c r="M83" s="99"/>
      <c r="N83" s="20"/>
      <c r="O83" s="20"/>
      <c r="P83" s="18"/>
      <c r="Q83" s="18"/>
      <c r="R83" s="99"/>
    </row>
    <row r="84" spans="2:18" s="16" customFormat="1" ht="13.5" hidden="1">
      <c r="B84" s="22"/>
      <c r="C84" s="18"/>
      <c r="D84" s="18"/>
      <c r="E84" s="18"/>
      <c r="F84" s="18"/>
      <c r="G84" s="18"/>
      <c r="H84" s="19"/>
      <c r="I84" s="19"/>
      <c r="J84" s="19"/>
      <c r="K84" s="18"/>
      <c r="L84" s="18"/>
      <c r="M84" s="99"/>
      <c r="N84" s="20"/>
      <c r="O84" s="20"/>
      <c r="P84" s="18"/>
      <c r="Q84" s="18"/>
      <c r="R84" s="99"/>
    </row>
    <row r="85" spans="2:18" s="5" customFormat="1" ht="15" hidden="1">
      <c r="B85" s="42"/>
      <c r="C85" s="42"/>
      <c r="D85" s="42" t="s">
        <v>72</v>
      </c>
      <c r="E85" s="42"/>
      <c r="F85" s="42"/>
      <c r="G85" s="42"/>
      <c r="H85" s="43"/>
      <c r="I85" s="43"/>
      <c r="J85" s="43"/>
      <c r="K85" s="42"/>
      <c r="L85" s="42"/>
      <c r="M85" s="100"/>
      <c r="N85" s="44" t="s">
        <v>73</v>
      </c>
      <c r="O85" s="44"/>
      <c r="P85" s="42">
        <v>380124.8300000001</v>
      </c>
      <c r="Q85" s="42">
        <v>110630.81999999999</v>
      </c>
      <c r="R85" s="101">
        <v>1405</v>
      </c>
    </row>
    <row r="86" spans="2:18" s="5" customFormat="1" ht="8.25" customHeight="1" hidden="1">
      <c r="B86" s="42"/>
      <c r="C86" s="42"/>
      <c r="D86" s="42"/>
      <c r="E86" s="42"/>
      <c r="F86" s="42"/>
      <c r="G86" s="42"/>
      <c r="H86" s="43"/>
      <c r="I86" s="43"/>
      <c r="J86" s="43"/>
      <c r="K86" s="42"/>
      <c r="L86" s="42"/>
      <c r="M86" s="100"/>
      <c r="N86" s="44"/>
      <c r="O86" s="44"/>
      <c r="P86" s="42"/>
      <c r="Q86" s="42"/>
      <c r="R86" s="101"/>
    </row>
    <row r="87" spans="2:18" s="5" customFormat="1" ht="15" hidden="1">
      <c r="B87" s="42"/>
      <c r="C87" s="42"/>
      <c r="D87" s="42"/>
      <c r="E87" s="42"/>
      <c r="F87" s="42"/>
      <c r="G87" s="42"/>
      <c r="H87" s="43"/>
      <c r="I87" s="43"/>
      <c r="J87" s="43"/>
      <c r="K87" s="42"/>
      <c r="L87" s="42"/>
      <c r="M87" s="100"/>
      <c r="N87" s="44"/>
      <c r="O87" s="44"/>
      <c r="P87" s="42"/>
      <c r="Q87" s="42"/>
      <c r="R87" s="101"/>
    </row>
    <row r="88" spans="2:18" s="5" customFormat="1" ht="15.75" customHeight="1" hidden="1">
      <c r="B88" s="42"/>
      <c r="C88" s="42"/>
      <c r="D88" s="195" t="s">
        <v>68</v>
      </c>
      <c r="E88" s="195"/>
      <c r="F88" s="195"/>
      <c r="G88" s="195"/>
      <c r="H88" s="195"/>
      <c r="I88" s="43"/>
      <c r="J88" s="43"/>
      <c r="K88" s="42"/>
      <c r="L88" s="42"/>
      <c r="M88" s="135"/>
      <c r="N88" s="136" t="s">
        <v>67</v>
      </c>
      <c r="O88" s="44"/>
      <c r="P88" s="42">
        <v>1875.03</v>
      </c>
      <c r="Q88" s="42">
        <v>293.25</v>
      </c>
      <c r="R88" s="101">
        <v>1</v>
      </c>
    </row>
    <row r="89" spans="2:18" s="5" customFormat="1" ht="15" hidden="1">
      <c r="B89" s="42"/>
      <c r="C89" s="42"/>
      <c r="D89" s="42"/>
      <c r="E89" s="42"/>
      <c r="F89" s="42"/>
      <c r="G89" s="42"/>
      <c r="H89" s="43"/>
      <c r="I89" s="43"/>
      <c r="J89" s="43"/>
      <c r="K89" s="42"/>
      <c r="L89" s="42"/>
      <c r="M89" s="101"/>
      <c r="N89" s="44"/>
      <c r="O89" s="44"/>
      <c r="P89" s="42">
        <f>P85-P88</f>
        <v>378249.80000000005</v>
      </c>
      <c r="Q89" s="42">
        <f>Q85-Q88</f>
        <v>110337.56999999999</v>
      </c>
      <c r="R89" s="42">
        <f>R85-R88</f>
        <v>1404</v>
      </c>
    </row>
    <row r="90" spans="2:18" s="16" customFormat="1" ht="13.5" hidden="1">
      <c r="B90" s="22"/>
      <c r="C90" s="18"/>
      <c r="D90" s="18"/>
      <c r="E90" s="18"/>
      <c r="F90" s="18"/>
      <c r="G90" s="18"/>
      <c r="H90" s="19"/>
      <c r="I90" s="19"/>
      <c r="J90" s="19"/>
      <c r="K90" s="18"/>
      <c r="L90" s="18"/>
      <c r="M90" s="99"/>
      <c r="N90" s="20"/>
      <c r="O90" s="20"/>
      <c r="P90" s="18"/>
      <c r="Q90" s="18"/>
      <c r="R90" s="99"/>
    </row>
    <row r="91" spans="2:18" s="16" customFormat="1" ht="13.5" hidden="1">
      <c r="B91" s="22"/>
      <c r="C91" s="18"/>
      <c r="D91" s="18"/>
      <c r="E91" s="18"/>
      <c r="F91" s="18"/>
      <c r="G91" s="18"/>
      <c r="H91" s="19"/>
      <c r="I91" s="19"/>
      <c r="J91" s="19"/>
      <c r="K91" s="18"/>
      <c r="L91" s="18"/>
      <c r="M91" s="99"/>
      <c r="N91" s="20"/>
      <c r="O91" s="20"/>
      <c r="P91" s="140">
        <f>P81-P89</f>
        <v>567915.3900000001</v>
      </c>
      <c r="Q91" s="140">
        <f>Q81-Q89</f>
        <v>162202.49</v>
      </c>
      <c r="R91" s="140">
        <f>R81-R89</f>
        <v>-45.070000000000164</v>
      </c>
    </row>
    <row r="92" spans="2:18" s="16" customFormat="1" ht="13.5" hidden="1">
      <c r="B92" s="22"/>
      <c r="C92" s="18"/>
      <c r="D92" s="18"/>
      <c r="E92" s="18"/>
      <c r="F92" s="18"/>
      <c r="G92" s="18"/>
      <c r="H92" s="19"/>
      <c r="I92" s="19"/>
      <c r="J92" s="19"/>
      <c r="K92" s="18"/>
      <c r="L92" s="18"/>
      <c r="M92" s="99"/>
      <c r="N92" s="21" t="e">
        <f>(M11*N11+M22*N22+M32*N32+M59*N59+M66*N66+#REF!*#REF!)/M79</f>
        <v>#REF!</v>
      </c>
      <c r="O92" s="20"/>
      <c r="P92" s="18"/>
      <c r="Q92" s="18"/>
      <c r="R92" s="99"/>
    </row>
    <row r="93" spans="2:18" ht="15" hidden="1">
      <c r="B93" s="23"/>
      <c r="C93" s="5"/>
      <c r="D93" s="5"/>
      <c r="E93" s="5"/>
      <c r="F93" s="5"/>
      <c r="G93" s="5"/>
      <c r="H93" s="5"/>
      <c r="I93" s="5"/>
      <c r="J93" s="5"/>
      <c r="K93" s="5"/>
      <c r="L93" s="16"/>
      <c r="M93" s="49"/>
      <c r="N93" s="16"/>
      <c r="O93" s="16"/>
      <c r="P93" s="24"/>
      <c r="Q93" s="25"/>
      <c r="R93" s="108"/>
    </row>
    <row r="94" spans="2:18" ht="6" customHeight="1" hidden="1">
      <c r="B94" s="23"/>
      <c r="C94" s="26"/>
      <c r="D94" s="26"/>
      <c r="E94" s="26"/>
      <c r="F94" s="26"/>
      <c r="G94" s="26"/>
      <c r="H94" s="26"/>
      <c r="I94" s="26"/>
      <c r="J94" s="26"/>
      <c r="K94" s="26"/>
      <c r="L94" s="16"/>
      <c r="M94" s="49"/>
      <c r="N94" s="16"/>
      <c r="O94" s="16"/>
      <c r="P94" s="24"/>
      <c r="Q94" s="25"/>
      <c r="R94" s="108"/>
    </row>
    <row r="95" spans="2:18" ht="15" hidden="1">
      <c r="B95" s="23"/>
      <c r="C95" s="5"/>
      <c r="D95" s="5" t="e">
        <f>#REF!+D66+D59+D32+D23+D22+D11</f>
        <v>#REF!</v>
      </c>
      <c r="E95" s="5" t="e">
        <f>#REF!+E66+E59+E32+E22+E11+E23</f>
        <v>#REF!</v>
      </c>
      <c r="F95" s="5" t="e">
        <f>#REF!+F66+F59+F32+F22+F11+F23</f>
        <v>#REF!</v>
      </c>
      <c r="G95" s="5" t="e">
        <f>#REF!+G66+G59+G32+G22+G11+G23</f>
        <v>#REF!</v>
      </c>
      <c r="H95" s="27" t="e">
        <f>#REF!+H66+H59+H32+H22+H11+H23</f>
        <v>#REF!</v>
      </c>
      <c r="I95" s="27" t="e">
        <f>#REF!+I66+I59+I32+I22+I11+I23</f>
        <v>#REF!</v>
      </c>
      <c r="J95" s="27"/>
      <c r="K95" s="127" t="e">
        <f>#REF!+K66+K59+K32+K22+K11+K23</f>
        <v>#REF!</v>
      </c>
      <c r="L95" s="127" t="e">
        <f>#REF!+L66+L59+L32+L22+L11+L23</f>
        <v>#REF!</v>
      </c>
      <c r="M95" s="102" t="e">
        <f>#REF!+M66+M59+M32+M22+M11+M23</f>
        <v>#REF!</v>
      </c>
      <c r="N95" s="27" t="e">
        <f>#REF!+N66+N59+N32+N22+N11+N23</f>
        <v>#REF!</v>
      </c>
      <c r="O95" s="27"/>
      <c r="P95" s="127"/>
      <c r="Q95" s="127"/>
      <c r="R95" s="102"/>
    </row>
    <row r="96" spans="2:18" ht="13.5">
      <c r="B96" s="23"/>
      <c r="D96" s="3">
        <v>582</v>
      </c>
      <c r="E96" s="3">
        <v>152</v>
      </c>
      <c r="L96" s="28"/>
      <c r="M96" s="103"/>
      <c r="N96" s="28"/>
      <c r="O96" s="28"/>
      <c r="P96" s="29"/>
      <c r="Q96" s="23"/>
      <c r="R96" s="107"/>
    </row>
    <row r="97" spans="2:18" ht="13.5">
      <c r="B97" s="23"/>
      <c r="D97" s="3">
        <v>6313</v>
      </c>
      <c r="E97" s="3">
        <v>41</v>
      </c>
      <c r="F97" s="3">
        <v>2075.37</v>
      </c>
      <c r="G97" s="3">
        <v>1625.4</v>
      </c>
      <c r="L97" s="28"/>
      <c r="M97" s="104">
        <v>2069.36</v>
      </c>
      <c r="N97" s="28"/>
      <c r="O97" s="28"/>
      <c r="P97" s="29"/>
      <c r="Q97" s="29"/>
      <c r="R97" s="29"/>
    </row>
    <row r="98" spans="2:18" ht="13.5">
      <c r="B98" s="23"/>
      <c r="F98" s="3" t="e">
        <f>F97-F95</f>
        <v>#REF!</v>
      </c>
      <c r="G98" s="3" t="e">
        <f>G97-G95</f>
        <v>#REF!</v>
      </c>
      <c r="L98" s="28"/>
      <c r="M98" s="105" t="e">
        <f>M97-M95</f>
        <v>#REF!</v>
      </c>
      <c r="N98" s="28"/>
      <c r="O98" s="28"/>
      <c r="P98" s="168"/>
      <c r="Q98" s="168"/>
      <c r="R98" s="168"/>
    </row>
    <row r="99" spans="16:18" ht="13.5">
      <c r="P99" s="169"/>
      <c r="Q99" s="169"/>
      <c r="R99" s="169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M102" s="1"/>
      <c r="Q102" s="30"/>
      <c r="R102" s="169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M103" s="1"/>
      <c r="P103" s="169"/>
      <c r="Q103" s="169"/>
      <c r="R103" s="169"/>
    </row>
  </sheetData>
  <sheetProtection/>
  <mergeCells count="24">
    <mergeCell ref="F8:F9"/>
    <mergeCell ref="K8:K9"/>
    <mergeCell ref="P8:Q8"/>
    <mergeCell ref="D8:D9"/>
    <mergeCell ref="G8:G9"/>
    <mergeCell ref="H8:I8"/>
    <mergeCell ref="J8:J9"/>
    <mergeCell ref="E8:E9"/>
    <mergeCell ref="A80:R80"/>
    <mergeCell ref="B2:R2"/>
    <mergeCell ref="B3:R3"/>
    <mergeCell ref="B4:R4"/>
    <mergeCell ref="K7:N7"/>
    <mergeCell ref="P7:R7"/>
    <mergeCell ref="A7:A9"/>
    <mergeCell ref="B7:B9"/>
    <mergeCell ref="C7:C9"/>
    <mergeCell ref="D7:J7"/>
    <mergeCell ref="R8:R9"/>
    <mergeCell ref="D88:H88"/>
    <mergeCell ref="L8:L9"/>
    <mergeCell ref="M8:M9"/>
    <mergeCell ref="N8:N9"/>
    <mergeCell ref="O8:O9"/>
  </mergeCells>
  <printOptions/>
  <pageMargins left="0.4724409448818898" right="0" top="0.5118110236220472" bottom="0.3937007874015748" header="0.5118110236220472" footer="0.35433070866141736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user</cp:lastModifiedBy>
  <cp:lastPrinted>2018-07-26T23:04:37Z</cp:lastPrinted>
  <dcterms:created xsi:type="dcterms:W3CDTF">2005-12-01T09:08:25Z</dcterms:created>
  <dcterms:modified xsi:type="dcterms:W3CDTF">2019-02-11T23:42:14Z</dcterms:modified>
  <cp:category/>
  <cp:version/>
  <cp:contentType/>
  <cp:contentStatus/>
</cp:coreProperties>
</file>